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amp; Matriks" sheetId="1" r:id="rId5"/>
    <sheet state="visible" name="Strategi" sheetId="2" r:id="rId6"/>
    <sheet state="visible" name="Pelan Pengambilan" sheetId="3" r:id="rId7"/>
    <sheet state="visible" name="Gantt Chart" sheetId="4" r:id="rId8"/>
    <sheet state="visible" name="Pelaporan" sheetId="5" r:id="rId9"/>
    <sheet state="visible" name="Ringkasan Pengisian" sheetId="6" r:id="rId10"/>
  </sheets>
  <definedNames>
    <definedName hidden="1" localSheetId="0" name="_xlnm._FilterDatabase">'Data &amp; Matriks'!$A$2:$AC$37</definedName>
  </definedNames>
  <calcPr/>
</workbook>
</file>

<file path=xl/sharedStrings.xml><?xml version="1.0" encoding="utf-8"?>
<sst xmlns="http://schemas.openxmlformats.org/spreadsheetml/2006/main" count="758" uniqueCount="293">
  <si>
    <t xml:space="preserve">  </t>
  </si>
  <si>
    <t>⚠ PENTING: Sila isi MATRIKS PRIORITI (5 kriteria) DAHULU sebelum mengisi Isu/Cabaran, Strategi &amp; Sasaran Pengisian. Data tidak akan tertarik ke Tab "Pelan Pengambilan" jika Matriks tidak diisi.</t>
  </si>
  <si>
    <t>SENARAI PERINCIAN KELULUSAN PENGISIAN DI GRED LANTIKAN TAHUN 2026</t>
  </si>
  <si>
    <t xml:space="preserve">KEMENTERIAN KESIHATAN MALAYSIA </t>
  </si>
  <si>
    <t>BAGI SKIM PERKHIDMATAN PERUBATAN DAN KESIHATAN (U)</t>
  </si>
  <si>
    <t>UNTUK DIKEMAS KINI OLEH PIHAK SPA SAHAJA</t>
  </si>
  <si>
    <t>BIL</t>
  </si>
  <si>
    <t>SKIM PERKHIDMATAN</t>
  </si>
  <si>
    <t>GRED</t>
  </si>
  <si>
    <t>KELULUSAN PENGISIAN JPA (BILANGAN)</t>
  </si>
  <si>
    <t>JUMLAH CADANGAN PENGISIAN YANG INGIN DILAKSANAKAN KKM SPA</t>
  </si>
  <si>
    <t>BILANGAN MENGIKUT LOKALITI
(*KP = Kelulusan Pengisian; *SI = Sudah Isi)</t>
  </si>
  <si>
    <t>JUMLAH SUDAH ISI</t>
  </si>
  <si>
    <t>JUMLAH BELUM ISI  
(CADANGAN PENGISIAN - JUMLAH SUDAH ISI)</t>
  </si>
  <si>
    <t>CATATAN</t>
  </si>
  <si>
    <t>STATUS TERKINI SPA
(DALAM TINDAKAN/
SELESAI TAWARAN)</t>
  </si>
  <si>
    <t>STATUS KKM
(BAKI BELUM MOHON KE SPA)</t>
  </si>
  <si>
    <t>BAKI CALON SIMPANAN</t>
  </si>
  <si>
    <t>MATRIKS PRIORITI — SKOR PENILAIAN</t>
  </si>
  <si>
    <t>HASIL MATRIKS</t>
  </si>
  <si>
    <t>ISU / CABARAN / PERMASALAHAN</t>
  </si>
  <si>
    <t>BILANGAN STRATEGI</t>
  </si>
  <si>
    <t>SEMENANJUNG</t>
  </si>
  <si>
    <t>SABAH</t>
  </si>
  <si>
    <t>SARAWAK</t>
  </si>
  <si>
    <t>Criticality
(30%)</t>
  </si>
  <si>
    <t>% Pengisian
(20%)</t>
  </si>
  <si>
    <t>Volume Kekosongan
(15%)</t>
  </si>
  <si>
    <t>Kompleksiti Pengambilan
(20%)</t>
  </si>
  <si>
    <t>Ketersediaan Calon
(15%)</t>
  </si>
  <si>
    <t>Skor Wajaran</t>
  </si>
  <si>
    <t>Tahap Keutamaan</t>
  </si>
  <si>
    <t>KP</t>
  </si>
  <si>
    <t>SI</t>
  </si>
  <si>
    <t>A) Skim Perkhidmatan Perubatan dan Kesihatan Gred 9 - 15</t>
  </si>
  <si>
    <t>Pegawai Perubatan</t>
  </si>
  <si>
    <t>UD15</t>
  </si>
  <si>
    <t>4 - Tinggi</t>
  </si>
  <si>
    <t>5 - Sangat Tinggi</t>
  </si>
  <si>
    <t>UD13</t>
  </si>
  <si>
    <t>3 - Sederhana</t>
  </si>
  <si>
    <t>UD10</t>
  </si>
  <si>
    <t>328 calon yang telah diluluskan pelantikan pada Februari 2026 bakal melapor diri bertugas pada 29.06.2026. 2,908 calon telah diluluskan pelantikan tetap pada Mei 2026 dan bakal melapor diri bertugas pada Ogos 2026.</t>
  </si>
  <si>
    <t>Pengambilan 1,455 calon simpanan akan dibuat setelah waran perjawatan baharu diterima daripada MOF dijangka pada Jun 2026. Pengambilan baki 306 kelulusan pengisian dan menggantikan calon yang menolak tawaran lantikan tetap dibuat melalui iklan baharu pada November 2026.</t>
  </si>
  <si>
    <t>Pegawai Pergigian</t>
  </si>
  <si>
    <t>UG10</t>
  </si>
  <si>
    <t>Pengambilan gred lantikan UG10 yang baharu akan diadakan pada November 2026 dengan cadangan lapor diri pada Februari 2027. Penetapan ini dibuat kerana penyelarasan semula laluan kerjaya Pegawai Pergigian Gred UG9 sedia ada kepada Gred UG10 yang dijangka selesai pada Disember 2026.</t>
  </si>
  <si>
    <t>Tamat tempoh 20.10.2025</t>
  </si>
  <si>
    <t>1 - Sangat Rendah</t>
  </si>
  <si>
    <t xml:space="preserve">Pengambilan gred lantikan UG10 yang baharu akan diadakan pada November 2026 dengan cadangan lapor diri pada Februari 2027. </t>
  </si>
  <si>
    <t>Pegawai Farmasi</t>
  </si>
  <si>
    <t>UF10</t>
  </si>
  <si>
    <t xml:space="preserve">Pengambilan gred lantikan UF10 yang baharu ditangguhkan pada tahun 2026 untuk penyelarasan semula laluan kerjaya Pegawai Farmasi Gred UF9 sedia ada kepada Gred UF10 yang dijangka selesai pada hujung tahun 2027. </t>
  </si>
  <si>
    <t>Pegawai Dietetik</t>
  </si>
  <si>
    <t>U9</t>
  </si>
  <si>
    <t>Telah mohon 11 calon tahun 2025. Mmemandangkan urusan 
masih berada pada urusan iklan, BSM telah memohon tambahan 76 calon
 kepada SPA melalui urusan calon simpanan pada 03 April 2026</t>
  </si>
  <si>
    <t>2 - Rendah</t>
  </si>
  <si>
    <t>Pegawai Pemulihan Perubatan (Pendengaran)</t>
  </si>
  <si>
    <t>Telah mohon melalui sistem ePengisian pada 06 Mei 2026</t>
  </si>
  <si>
    <t>tamat tempoh 7.10.2025 (4)</t>
  </si>
  <si>
    <t>Pegawai Pemulihan Perubatan (Pertuturan)</t>
  </si>
  <si>
    <t>Pegawai Pemulihan Perubatan (Fisioterapi)</t>
  </si>
  <si>
    <t>Pegawai Pemulihan Perubatan (Cara Kerja)</t>
  </si>
  <si>
    <t>tatam tempoh 13.10.2025</t>
  </si>
  <si>
    <t>Pegawai Optometri</t>
  </si>
  <si>
    <t>Permohonan kepada SPA menggunakan kelulusan pengisian tahun 2026 akan dilaksanakan 
setelah urusan tahun 2025 selesai.</t>
  </si>
  <si>
    <t>Pengajar (Jururawat)</t>
  </si>
  <si>
    <t>Pengajar (Penolong Pegawai Perubatan)</t>
  </si>
  <si>
    <t>Pengajar (Penolong Pegawai Kesihatan Persekitaran)</t>
  </si>
  <si>
    <t>tamat tempoh 9.10.2025</t>
  </si>
  <si>
    <t>Pengajar (Juruterapi Pergigian)</t>
  </si>
  <si>
    <t>Pengajar  (Juruteknologi Pergigian)</t>
  </si>
  <si>
    <t>Pengajar  (Penolong Pegawai Farmasi)</t>
  </si>
  <si>
    <t>Pengajar (Jurupulih Perubatan Carakerja)</t>
  </si>
  <si>
    <t>Pengajar (Jurupulih Perubatan Angota)</t>
  </si>
  <si>
    <t>tamat tempoh 16.1.2024 (2)</t>
  </si>
  <si>
    <t>Pengajar (Radiografi &amp; Radioterapi - Juru X-Ray)</t>
  </si>
  <si>
    <t>Pengajar (Juruteknologi Makmal Perubatan)</t>
  </si>
  <si>
    <t xml:space="preserve">Jururawat </t>
  </si>
  <si>
    <t>Permohonan ePengisian SPA telah dikemukakan pada 06 Mei 2026</t>
  </si>
  <si>
    <t>Penolong Pegawai Perubatan</t>
  </si>
  <si>
    <t>Terdaapat 37 baki calon simpanan yang telah tamat tempoh pada bulan Oktober 2025. Permohonan pelanjutan akan dimohon pada 26 Mei 2026 manakalala baki sebanyak 43 akan dimohon melalui sistem epengisian.</t>
  </si>
  <si>
    <t>tamat tempoh 1.10.2025</t>
  </si>
  <si>
    <t xml:space="preserve">Pegawai Kesihatan Persekitaran </t>
  </si>
  <si>
    <t>Kelulusan Pengisian PKP U9 di KKM sebanyak  3 dan di KDN (AKPS) 2</t>
  </si>
  <si>
    <t>Juru X-Ray (Terapi)</t>
  </si>
  <si>
    <t>tamat tempoh 23.1.2025</t>
  </si>
  <si>
    <t>Juru X-Ray (Diagnostik)</t>
  </si>
  <si>
    <t>Permohonan ePengisian 16.4.2026</t>
  </si>
  <si>
    <t>Jumlah Skim Perkhidmatan Perubatan dan Kesihatan (U)</t>
  </si>
  <si>
    <t>SENARAI STRATEGI PENGAMBILAN — Skim Perubatan &amp; Kesihatan</t>
  </si>
  <si>
    <t>⚠ PENTING: Bilangan strategi yang digunakan kena selaras dengan Tab "Data &amp; Matriks" kolum BILANGAN STRATEGI. Slot kelabu = tidak digunakan.</t>
  </si>
  <si>
    <t>Bil. Skim</t>
  </si>
  <si>
    <t>Slot</t>
  </si>
  <si>
    <t>Skim Perkhidmatan</t>
  </si>
  <si>
    <t>Gred</t>
  </si>
  <si>
    <t>STRATEGI PENGAMBILAN
DAN PENGISIAN</t>
  </si>
  <si>
    <t>KATEGORI STRATEGI</t>
  </si>
  <si>
    <t>SASARAN PENGISIAN
(BILANGAN)</t>
  </si>
  <si>
    <t>Helper Rank</t>
  </si>
  <si>
    <t>Pengambilan calon baharu</t>
  </si>
  <si>
    <t>Conventional</t>
  </si>
  <si>
    <t xml:space="preserve">Pengambilan 1,455 calon simpanan akan dibuat setelah waran perjawatan baharu diterima daripada MOF dijangka pada Jun 2026. </t>
  </si>
  <si>
    <t>Calon Simpanan</t>
  </si>
  <si>
    <t>Pengambilan baki 306 kelulusan pengisian dan kekosongan sedia ada menggantikan calon yang menolak tawaran lantikan tetap dibuat melalui iklan baharu pada November 2026.</t>
  </si>
  <si>
    <t>Bersasar</t>
  </si>
  <si>
    <t>Pengisian melalui baki calon simpanan sebanyak 70 orang</t>
  </si>
  <si>
    <t xml:space="preserve">(1) Pengisian melalui calon simpanan sebanyak 59 orang
</t>
  </si>
  <si>
    <t xml:space="preserve">(1) Pengisian melalui calon simpanan sebanyak 37 orang
</t>
  </si>
  <si>
    <t xml:space="preserve">(2) Pengisian melalui urusan pengambilan baharu
</t>
  </si>
  <si>
    <t>Pengisian melalui calon simpanan sebanyak 16 orang</t>
  </si>
  <si>
    <t>Pengambilan calon baru</t>
  </si>
  <si>
    <t xml:space="preserve">PELAN PENGAMBILAN — TIMELINE </t>
  </si>
  <si>
    <t>Auto-pull dari Data &amp; Matriks. Isi Tarikh Sasaran (perancangan) dan Tarikh Pelaksanaan (sebenar) untuk setiap proses.</t>
  </si>
  <si>
    <t>RUJUKAN PROSES</t>
  </si>
  <si>
    <t>P1: Permohonan e-Pengisian</t>
  </si>
  <si>
    <t>P2: Penyediaan Pra-PLP</t>
  </si>
  <si>
    <t>P3: Iklan — Tarikh Mula</t>
  </si>
  <si>
    <t>P4: Iklan — Tarikh Tutup</t>
  </si>
  <si>
    <t>P5: Tarikh Tutup Pemerolehan</t>
  </si>
  <si>
    <t>P6: Kelulusan PLP</t>
  </si>
  <si>
    <t>P7: PSEE</t>
  </si>
  <si>
    <t>P8: Professional Assesment</t>
  </si>
  <si>
    <t>P9: Temuduga</t>
  </si>
  <si>
    <t>P10: Gulung kertas</t>
  </si>
  <si>
    <t>P11: Kelulusan KSJ</t>
  </si>
  <si>
    <t>P12: Tawaran</t>
  </si>
  <si>
    <t>SASARAN PENGISIAN (BILANGAN)</t>
  </si>
  <si>
    <t>Rank</t>
  </si>
  <si>
    <t>Skim / Jawatan</t>
  </si>
  <si>
    <t>Kategori Strategi
Pengisian</t>
  </si>
  <si>
    <t>Tahap</t>
  </si>
  <si>
    <t>Progress %</t>
  </si>
  <si>
    <t>Status Pelaksanaan Terkini</t>
  </si>
  <si>
    <t>Tarikh Sasaran</t>
  </si>
  <si>
    <t>Tarikh Pelaksanaan</t>
  </si>
  <si>
    <t>PELAN PELAKSANAAN STRATEGI PENGAMBILAN - GANTT CHART</t>
  </si>
  <si>
    <t>Auto-pull dari Tab "Pelan Pengambilan" • Dis 2025 hingga Dis 2027</t>
  </si>
  <si>
    <t>STRATEGI PENGAMBILAN</t>
  </si>
  <si>
    <t>Bar</t>
  </si>
  <si>
    <t>Dis 2025</t>
  </si>
  <si>
    <t>Jan 2026</t>
  </si>
  <si>
    <t>Feb 2026</t>
  </si>
  <si>
    <t>Mac 2026</t>
  </si>
  <si>
    <t>Apr 2026</t>
  </si>
  <si>
    <t>Mei 2026</t>
  </si>
  <si>
    <t>Jun 2026</t>
  </si>
  <si>
    <t>Jul 2026</t>
  </si>
  <si>
    <t>Ogo 2026</t>
  </si>
  <si>
    <t>Sep 2026</t>
  </si>
  <si>
    <t>Okt 2026</t>
  </si>
  <si>
    <t>Nov 2026</t>
  </si>
  <si>
    <t>Dis 2026</t>
  </si>
  <si>
    <t>Jan 2027</t>
  </si>
  <si>
    <t>Feb 2027</t>
  </si>
  <si>
    <t>Mac 2027</t>
  </si>
  <si>
    <t>Apr 2027</t>
  </si>
  <si>
    <t>Mei 2027</t>
  </si>
  <si>
    <t>Jun 2027</t>
  </si>
  <si>
    <t>Jul 2027</t>
  </si>
  <si>
    <t>Ogo 2027</t>
  </si>
  <si>
    <t>Sep 2027</t>
  </si>
  <si>
    <t>Okt 2027</t>
  </si>
  <si>
    <t>Nov 2027</t>
  </si>
  <si>
    <t>Dis 2027</t>
  </si>
  <si>
    <t>PENGISIAN SEBENAR
(BILANGAN)</t>
  </si>
  <si>
    <t>MIN P</t>
  </si>
  <si>
    <t>MAX P</t>
  </si>
  <si>
    <t>MIN A</t>
  </si>
  <si>
    <t>MAX A</t>
  </si>
  <si>
    <t>29/12</t>
  </si>
  <si>
    <t>5/1</t>
  </si>
  <si>
    <t>12/1</t>
  </si>
  <si>
    <t>19/1</t>
  </si>
  <si>
    <t>26/1</t>
  </si>
  <si>
    <t>2/2</t>
  </si>
  <si>
    <t>9/2</t>
  </si>
  <si>
    <t>16/2</t>
  </si>
  <si>
    <t>23/2</t>
  </si>
  <si>
    <t>2/3</t>
  </si>
  <si>
    <t>9/3</t>
  </si>
  <si>
    <t>16/3</t>
  </si>
  <si>
    <t>23/3</t>
  </si>
  <si>
    <t>30/3</t>
  </si>
  <si>
    <t>6/4</t>
  </si>
  <si>
    <t>13/4</t>
  </si>
  <si>
    <t>20/4</t>
  </si>
  <si>
    <t>27/4</t>
  </si>
  <si>
    <t>4/5</t>
  </si>
  <si>
    <t>11/5</t>
  </si>
  <si>
    <t>18/5</t>
  </si>
  <si>
    <t>25/5</t>
  </si>
  <si>
    <t>1/6</t>
  </si>
  <si>
    <t>8/6</t>
  </si>
  <si>
    <t>15/6</t>
  </si>
  <si>
    <t>22/6</t>
  </si>
  <si>
    <t>29/6</t>
  </si>
  <si>
    <t>6/7</t>
  </si>
  <si>
    <t>13/7</t>
  </si>
  <si>
    <t>20/7</t>
  </si>
  <si>
    <t>27/7</t>
  </si>
  <si>
    <t>3/8</t>
  </si>
  <si>
    <t>10/8</t>
  </si>
  <si>
    <t>17/8</t>
  </si>
  <si>
    <t>24/8</t>
  </si>
  <si>
    <t>31/8</t>
  </si>
  <si>
    <t>7/9</t>
  </si>
  <si>
    <t>14/9</t>
  </si>
  <si>
    <t>21/9</t>
  </si>
  <si>
    <t>28/9</t>
  </si>
  <si>
    <t>5/10</t>
  </si>
  <si>
    <t>12/10</t>
  </si>
  <si>
    <t>19/10</t>
  </si>
  <si>
    <t>26/10</t>
  </si>
  <si>
    <t>2/11</t>
  </si>
  <si>
    <t>9/11</t>
  </si>
  <si>
    <t>16/11</t>
  </si>
  <si>
    <t>23/11</t>
  </si>
  <si>
    <t>30/11</t>
  </si>
  <si>
    <t>7/12</t>
  </si>
  <si>
    <t>14/12</t>
  </si>
  <si>
    <t>21/12</t>
  </si>
  <si>
    <t>28/12</t>
  </si>
  <si>
    <t>4/1</t>
  </si>
  <si>
    <t>11/1</t>
  </si>
  <si>
    <t>18/1</t>
  </si>
  <si>
    <t>25/1</t>
  </si>
  <si>
    <t>1/2</t>
  </si>
  <si>
    <t>8/2</t>
  </si>
  <si>
    <t>15/2</t>
  </si>
  <si>
    <t>22/2</t>
  </si>
  <si>
    <t>1/3</t>
  </si>
  <si>
    <t>8/3</t>
  </si>
  <si>
    <t>15/3</t>
  </si>
  <si>
    <t>22/3</t>
  </si>
  <si>
    <t>29/3</t>
  </si>
  <si>
    <t>5/4</t>
  </si>
  <si>
    <t>12/4</t>
  </si>
  <si>
    <t>19/4</t>
  </si>
  <si>
    <t>26/4</t>
  </si>
  <si>
    <t>3/5</t>
  </si>
  <si>
    <t>10/5</t>
  </si>
  <si>
    <t>17/5</t>
  </si>
  <si>
    <t>24/5</t>
  </si>
  <si>
    <t>31/5</t>
  </si>
  <si>
    <t>7/6</t>
  </si>
  <si>
    <t>14/6</t>
  </si>
  <si>
    <t>21/6</t>
  </si>
  <si>
    <t>28/6</t>
  </si>
  <si>
    <t>5/7</t>
  </si>
  <si>
    <t>12/7</t>
  </si>
  <si>
    <t>19/7</t>
  </si>
  <si>
    <t>26/7</t>
  </si>
  <si>
    <t>2/8</t>
  </si>
  <si>
    <t>9/8</t>
  </si>
  <si>
    <t>16/8</t>
  </si>
  <si>
    <t>23/8</t>
  </si>
  <si>
    <t>30/8</t>
  </si>
  <si>
    <t>6/9</t>
  </si>
  <si>
    <t>13/9</t>
  </si>
  <si>
    <t>20/9</t>
  </si>
  <si>
    <t>27/9</t>
  </si>
  <si>
    <t>4/10</t>
  </si>
  <si>
    <t>11/10</t>
  </si>
  <si>
    <t>18/10</t>
  </si>
  <si>
    <t>25/10</t>
  </si>
  <si>
    <t>1/11</t>
  </si>
  <si>
    <t>8/11</t>
  </si>
  <si>
    <t>15/11</t>
  </si>
  <si>
    <t>22/11</t>
  </si>
  <si>
    <t>29/11</t>
  </si>
  <si>
    <t>6/12</t>
  </si>
  <si>
    <t>13/12</t>
  </si>
  <si>
    <t>20/12</t>
  </si>
  <si>
    <t>27/12</t>
  </si>
  <si>
    <t>Planned</t>
  </si>
  <si>
    <t>Actual</t>
  </si>
  <si>
    <t>(1) Pengisian melalui calon simpanan sebanyak 59 orang</t>
  </si>
  <si>
    <t>PELAPORAN — PENGISIAN MENGIKUT STRATEGI</t>
  </si>
  <si>
    <t>Auto-pull dari Tab 2 (Pelan Pengambilan) • Susunan ikut keutamaan strategi</t>
  </si>
  <si>
    <t>Bil</t>
  </si>
  <si>
    <t>Kategori Strategi</t>
  </si>
  <si>
    <t>Sasaran Pengisian</t>
  </si>
  <si>
    <t>Pengisian Sebenar</t>
  </si>
  <si>
    <t>RINGKASAN PENGISIAN MENGIKUT SKIM PERKHIDMATAN</t>
  </si>
  <si>
    <t>Ringkasan 1 baris per Skim+Gred • Auto-kira dari Tab Data &amp; Matriks, Strategi, Pelan Pengambilan</t>
  </si>
  <si>
    <t>Kelulusan
Pengisian</t>
  </si>
  <si>
    <t>Sasaran
Pengisian</t>
  </si>
  <si>
    <t>Pengisian Sebenar
+ Dalam Tindakan</t>
  </si>
  <si>
    <t>Baki
Pengisian</t>
  </si>
  <si>
    <t>Peratus
Pengisian</t>
  </si>
  <si>
    <t>Status Terkini</t>
  </si>
  <si>
    <t>Progress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</si>
</sst>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d/MM/yyyy"/>
    <numFmt numFmtId="165" formatCode="dd/mm/yyyy"/>
    <numFmt numFmtId="166" formatCode="mm/dd/yy"/>
    <numFmt numFmtId="167" formatCode="mm/dd/yy\ hh:mm\ AM/PM"/>
  </numFmts>
  <fonts count="32">
    <font>
      <sz val="11.0"/>
      <color theme="1"/>
      <name val="Calibri"/>
      <scheme val="minor"/>
    </font>
    <font>
      <sz val="11.0"/>
      <color theme="1"/>
      <name val="Arial"/>
    </font>
    <font>
      <b/>
      <sz val="11.0"/>
      <color theme="1"/>
      <name val="Arial"/>
    </font>
    <font>
      <sz val="11.0"/>
      <color theme="1"/>
      <name val="Calibri"/>
    </font>
    <font>
      <sz val="12.0"/>
      <color theme="1"/>
      <name val="Arial"/>
    </font>
    <font>
      <b/>
      <sz val="11.0"/>
      <color rgb="FFB45309"/>
      <name val="Arial"/>
    </font>
    <font/>
    <font>
      <b/>
      <sz val="11.0"/>
      <color rgb="FF000000"/>
      <name val="Arial"/>
    </font>
    <font>
      <b/>
      <sz val="10.0"/>
      <color rgb="FF000000"/>
      <name val="Arial"/>
    </font>
    <font>
      <b/>
      <sz val="11.0"/>
      <color rgb="FFFFFFFF"/>
      <name val="Arial"/>
    </font>
    <font>
      <b/>
      <sz val="10.0"/>
      <color rgb="FFFFFFFF"/>
      <name val="Arial"/>
    </font>
    <font>
      <sz val="12.0"/>
      <color theme="1"/>
      <name val="Calibri"/>
    </font>
    <font>
      <sz val="12.0"/>
      <color rgb="FF000000"/>
      <name val="Arial"/>
    </font>
    <font>
      <b/>
      <sz val="12.0"/>
      <color rgb="FF000000"/>
      <name val="Arial"/>
    </font>
    <font>
      <sz val="10.0"/>
      <color theme="1"/>
      <name val="Arial"/>
    </font>
    <font>
      <sz val="9.0"/>
      <color rgb="FFB7B7B7"/>
      <name val="Arial"/>
    </font>
    <font>
      <sz val="8.0"/>
      <color theme="1"/>
      <name val="Arial"/>
    </font>
    <font>
      <sz val="10.0"/>
      <color theme="1"/>
      <name val="Calibri"/>
    </font>
    <font>
      <b/>
      <sz val="12.0"/>
      <color theme="1"/>
      <name val="Arial"/>
    </font>
    <font>
      <b/>
      <u/>
      <sz val="11.0"/>
      <color theme="1"/>
      <name val="Arial"/>
    </font>
    <font>
      <b/>
      <sz val="14.0"/>
      <color rgb="FF1F4E78"/>
      <name val="Arial"/>
    </font>
    <font>
      <b/>
      <i/>
      <sz val="10.0"/>
      <color rgb="FFB45309"/>
      <name val="Arial"/>
    </font>
    <font>
      <i/>
      <sz val="9.0"/>
      <color rgb="FF6B7280"/>
      <name val="Arial"/>
    </font>
    <font>
      <b/>
      <sz val="12.0"/>
      <color rgb="FF1F4E78"/>
      <name val="Arial"/>
    </font>
    <font>
      <b/>
      <sz val="10.0"/>
      <color theme="1"/>
      <name val="Arial"/>
    </font>
    <font>
      <b/>
      <sz val="16.0"/>
      <color rgb="FF1F4E78"/>
      <name val="Arial"/>
    </font>
    <font>
      <i/>
      <sz val="10.0"/>
      <color rgb="FF595959"/>
      <name val="Arial"/>
    </font>
    <font>
      <b/>
      <sz val="9.0"/>
      <color rgb="FFFFFFFF"/>
      <name val="Arial"/>
    </font>
    <font>
      <i/>
      <sz val="10.0"/>
      <color rgb="FF6B7280"/>
      <name val="Arial"/>
    </font>
    <font>
      <sz val="8.0"/>
      <color rgb="FFB7B7B7"/>
      <name val="Cambria"/>
    </font>
    <font>
      <sz val="9.0"/>
      <color theme="1"/>
      <name val="Arial"/>
    </font>
    <font>
      <b/>
      <sz val="8.0"/>
      <color rgb="FFFFFFFF"/>
      <name val="Arial"/>
    </font>
  </fonts>
  <fills count="15">
    <fill>
      <patternFill patternType="none"/>
    </fill>
    <fill>
      <patternFill patternType="lightGray"/>
    </fill>
    <fill>
      <patternFill patternType="solid">
        <fgColor rgb="FFFFF2CC"/>
        <bgColor rgb="FFFFF2CC"/>
      </patternFill>
    </fill>
    <fill>
      <patternFill patternType="solid">
        <fgColor rgb="FFFFFF00"/>
        <bgColor rgb="FFFFFF00"/>
      </patternFill>
    </fill>
    <fill>
      <patternFill patternType="solid">
        <fgColor rgb="FFD8D8D8"/>
        <bgColor rgb="FFD8D8D8"/>
      </patternFill>
    </fill>
    <fill>
      <patternFill patternType="solid">
        <fgColor rgb="FFFEF2CB"/>
        <bgColor rgb="FFFEF2CB"/>
      </patternFill>
    </fill>
    <fill>
      <patternFill patternType="solid">
        <fgColor rgb="FFD9D9D9"/>
        <bgColor rgb="FFD9D9D9"/>
      </patternFill>
    </fill>
    <fill>
      <patternFill patternType="solid">
        <fgColor rgb="FF1F4E78"/>
        <bgColor rgb="FF1F4E78"/>
      </patternFill>
    </fill>
    <fill>
      <patternFill patternType="solid">
        <fgColor rgb="FFFFE699"/>
        <bgColor rgb="FFFFE699"/>
      </patternFill>
    </fill>
    <fill>
      <patternFill patternType="solid">
        <fgColor rgb="FF2E75B6"/>
        <bgColor rgb="FF2E75B6"/>
      </patternFill>
    </fill>
    <fill>
      <patternFill patternType="solid">
        <fgColor rgb="FFDDEBF7"/>
        <bgColor rgb="FFDDEBF7"/>
      </patternFill>
    </fill>
    <fill>
      <patternFill patternType="solid">
        <fgColor theme="0"/>
        <bgColor theme="0"/>
      </patternFill>
    </fill>
    <fill>
      <patternFill patternType="solid">
        <fgColor rgb="FFFFFFFF"/>
        <bgColor rgb="FFFFFFFF"/>
      </patternFill>
    </fill>
    <fill>
      <patternFill patternType="solid">
        <fgColor rgb="FFD9E1F2"/>
        <bgColor rgb="FFD9E1F2"/>
      </patternFill>
    </fill>
    <fill>
      <patternFill patternType="solid">
        <fgColor rgb="FFE2EFDA"/>
        <bgColor rgb="FFE2EFDA"/>
      </patternFill>
    </fill>
  </fills>
  <borders count="44">
    <border/>
    <border>
      <left style="medium">
        <color rgb="FFB45309"/>
      </left>
      <top style="medium">
        <color rgb="FFB45309"/>
      </top>
      <bottom style="medium">
        <color rgb="FFB45309"/>
      </bottom>
    </border>
    <border>
      <top style="medium">
        <color rgb="FFB45309"/>
      </top>
      <bottom style="medium">
        <color rgb="FFB45309"/>
      </bottom>
    </border>
    <border>
      <right/>
      <top style="medium">
        <color rgb="FFB45309"/>
      </top>
      <bottom style="medium">
        <color rgb="FFB45309"/>
      </bottom>
    </border>
    <border>
      <left style="thin">
        <color rgb="FFB4B4B4"/>
      </left>
      <top style="thin">
        <color rgb="FFB4B4B4"/>
      </top>
      <bottom style="thin">
        <color rgb="FFB4B4B4"/>
      </bottom>
    </border>
    <border>
      <top style="thin">
        <color rgb="FFB4B4B4"/>
      </top>
      <bottom style="thin">
        <color rgb="FFB4B4B4"/>
      </bottom>
    </border>
    <border>
      <right/>
      <top style="thin">
        <color rgb="FFB4B4B4"/>
      </top>
      <bottom style="thin">
        <color rgb="FFB4B4B4"/>
      </bottom>
    </border>
    <border>
      <left style="thin">
        <color rgb="FF000000"/>
      </left>
      <right style="thin">
        <color rgb="FF000000"/>
      </right>
      <top style="thin">
        <color rgb="FF000000"/>
      </top>
    </border>
    <border>
      <left style="medium">
        <color rgb="FF000000"/>
      </left>
      <right style="medium">
        <color rgb="FF000000"/>
      </right>
      <top style="medium">
        <color rgb="FF000000"/>
      </top>
    </border>
    <border>
      <left style="medium">
        <color rgb="FF000000"/>
      </left>
      <right style="medium">
        <color rgb="FFB4B4B4"/>
      </right>
      <top style="medium">
        <color rgb="FFB4B4B4"/>
      </top>
    </border>
    <border>
      <right style="thin">
        <color rgb="FF000000"/>
      </right>
      <top style="thin">
        <color rgb="FFB4B4B4"/>
      </top>
      <bottom style="thin">
        <color rgb="FFB4B4B4"/>
      </bottom>
    </border>
    <border>
      <left style="thin">
        <color rgb="FF000000"/>
      </left>
      <right/>
      <top style="thin">
        <color rgb="FF000000"/>
      </top>
    </border>
    <border>
      <left style="thin">
        <color rgb="FFB4B4B4"/>
      </left>
      <right style="thin">
        <color rgb="FFB4B4B4"/>
      </right>
      <top style="thin">
        <color rgb="FFB4B4B4"/>
      </top>
    </border>
    <border>
      <right style="thin">
        <color rgb="FFB4B4B4"/>
      </right>
      <top style="thin">
        <color rgb="FFB4B4B4"/>
      </top>
      <bottom style="thin">
        <color rgb="FFB4B4B4"/>
      </bottom>
    </border>
    <border>
      <left style="thin">
        <color rgb="FF000000"/>
      </left>
      <right style="thin">
        <color rgb="FF000000"/>
      </right>
    </border>
    <border>
      <left style="medium">
        <color rgb="FF000000"/>
      </left>
      <right style="medium">
        <color rgb="FF000000"/>
      </right>
    </border>
    <border>
      <left style="medium">
        <color rgb="FF000000"/>
      </left>
      <right style="medium">
        <color rgb="FFB4B4B4"/>
      </right>
    </border>
    <border>
      <left style="thin">
        <color rgb="FF000000"/>
      </left>
      <top style="thin">
        <color rgb="FFB4B4B4"/>
      </top>
      <bottom style="thin">
        <color rgb="FFB4B4B4"/>
      </bottom>
    </border>
    <border>
      <left style="thin">
        <color rgb="FF000000"/>
      </left>
      <right/>
    </border>
    <border>
      <left style="thin">
        <color rgb="FFB4B4B4"/>
      </left>
      <right style="thin">
        <color rgb="FFB4B4B4"/>
      </right>
    </border>
    <border>
      <left style="thin">
        <color rgb="FF000000"/>
      </left>
      <right style="thin">
        <color rgb="FF000000"/>
      </right>
      <bottom style="thin">
        <color rgb="FF000000"/>
      </bottom>
    </border>
    <border>
      <left style="medium">
        <color rgb="FF000000"/>
      </left>
      <right style="medium">
        <color rgb="FF000000"/>
      </right>
      <bottom style="medium">
        <color rgb="FF000000"/>
      </bottom>
    </border>
    <border>
      <left style="medium">
        <color rgb="FF000000"/>
      </left>
      <right style="medium">
        <color rgb="FFB4B4B4"/>
      </right>
      <bottom style="medium">
        <color rgb="FFB4B4B4"/>
      </bottom>
    </border>
    <border>
      <left style="thin">
        <color rgb="FFB4B4B4"/>
      </left>
      <right style="thin">
        <color rgb="FFB4B4B4"/>
      </right>
      <top style="thin">
        <color rgb="FFB4B4B4"/>
      </top>
      <bottom style="thin">
        <color rgb="FFB4B4B4"/>
      </bottom>
    </border>
    <border>
      <left style="thin">
        <color rgb="FF000000"/>
      </left>
      <right/>
      <bottom style="thin">
        <color rgb="FF000000"/>
      </bottom>
    </border>
    <border>
      <left style="thin">
        <color rgb="FFB4B4B4"/>
      </left>
      <right style="thin">
        <color rgb="FFB4B4B4"/>
      </right>
      <bottom/>
    </border>
    <border>
      <left style="thin">
        <color rgb="FFB4B4B4"/>
      </left>
      <right style="thin">
        <color rgb="FFB4B4B4"/>
      </right>
      <bottom style="thin">
        <color rgb="FFB4B4B4"/>
      </bottom>
    </border>
    <border>
      <left style="thin">
        <color rgb="FF000000"/>
      </left>
      <bottom style="thin">
        <color rgb="FF000000"/>
      </bottom>
    </border>
    <border>
      <bottom style="thin">
        <color rgb="FF000000"/>
      </bottom>
    </border>
    <border>
      <left style="thin">
        <color rgb="FF000000"/>
      </left>
      <right style="thin">
        <color rgb="FF000000"/>
      </right>
      <top style="thin">
        <color rgb="FF000000"/>
      </top>
      <bottom style="thin">
        <color rgb="FF000000"/>
      </bottom>
    </border>
    <border>
      <left/>
      <right style="thin">
        <color rgb="FFB4B4B4"/>
      </right>
      <top style="thin">
        <color rgb="FFB4B4B4"/>
      </top>
      <bottom style="thin">
        <color rgb="FFB4B4B4"/>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bottom/>
    </border>
    <border>
      <top/>
      <bottom/>
    </border>
    <border>
      <right/>
      <top/>
      <bottom/>
    </border>
    <border>
      <left/>
      <top style="thin">
        <color rgb="FFB4B4B4"/>
      </top>
    </border>
    <border>
      <right/>
      <top style="thin">
        <color rgb="FFB4B4B4"/>
      </top>
    </border>
    <border>
      <left/>
      <right/>
      <top/>
    </border>
    <border>
      <left/>
      <bottom style="thin">
        <color rgb="FFB4B4B4"/>
      </bottom>
    </border>
    <border>
      <right/>
      <bottom style="thin">
        <color rgb="FFB4B4B4"/>
      </bottom>
    </border>
    <border>
      <left/>
      <right/>
    </border>
    <border>
      <left/>
      <right/>
      <bottom style="thin">
        <color rgb="FFB4B4B4"/>
      </bottom>
    </border>
  </borders>
  <cellStyleXfs count="1">
    <xf borderId="0" fillId="0" fontId="0" numFmtId="0" applyAlignment="1" applyFont="1"/>
  </cellStyleXfs>
  <cellXfs count="162">
    <xf borderId="0" fillId="0" fontId="0" numFmtId="0" xfId="0" applyAlignment="1" applyFont="1">
      <alignment readingOrder="0" shrinkToFit="0" vertical="bottom" wrapText="0"/>
    </xf>
    <xf borderId="0" fillId="0" fontId="1" numFmtId="0" xfId="0" applyAlignment="1" applyFont="1">
      <alignment vertical="bottom"/>
    </xf>
    <xf borderId="0" fillId="0" fontId="2" numFmtId="0" xfId="0" applyAlignment="1" applyFont="1">
      <alignment horizontal="right" vertical="bottom"/>
    </xf>
    <xf borderId="0" fillId="0" fontId="3" numFmtId="0" xfId="0" applyAlignment="1" applyFont="1">
      <alignment vertical="bottom"/>
    </xf>
    <xf borderId="0" fillId="0" fontId="4" numFmtId="0" xfId="0" applyAlignment="1" applyFont="1">
      <alignment vertical="bottom"/>
    </xf>
    <xf borderId="0" fillId="0" fontId="4" numFmtId="0" xfId="0" applyAlignment="1" applyFont="1">
      <alignment shrinkToFit="0" vertical="bottom" wrapText="1"/>
    </xf>
    <xf borderId="1" fillId="2" fontId="5" numFmtId="0" xfId="0" applyAlignment="1" applyBorder="1" applyFill="1" applyFont="1">
      <alignment horizontal="left" shrinkToFit="0" vertical="center" wrapText="1"/>
    </xf>
    <xf borderId="2" fillId="0" fontId="6" numFmtId="0" xfId="0" applyBorder="1" applyFont="1"/>
    <xf borderId="3" fillId="0" fontId="6" numFmtId="0" xfId="0" applyBorder="1" applyFont="1"/>
    <xf borderId="0" fillId="0" fontId="2" numFmtId="0" xfId="0" applyAlignment="1" applyFont="1">
      <alignment horizontal="center" vertical="bottom"/>
    </xf>
    <xf borderId="4" fillId="3" fontId="7" numFmtId="0" xfId="0" applyAlignment="1" applyBorder="1" applyFill="1" applyFont="1">
      <alignment horizontal="center" shrinkToFit="0" vertical="center" wrapText="1"/>
    </xf>
    <xf borderId="5" fillId="0" fontId="6" numFmtId="0" xfId="0" applyBorder="1" applyFont="1"/>
    <xf borderId="6" fillId="0" fontId="6" numFmtId="0" xfId="0" applyBorder="1" applyFont="1"/>
    <xf borderId="7" fillId="4" fontId="2" numFmtId="0" xfId="0" applyAlignment="1" applyBorder="1" applyFill="1" applyFont="1">
      <alignment horizontal="center" vertical="center"/>
    </xf>
    <xf borderId="7" fillId="4" fontId="2" numFmtId="0" xfId="0" applyAlignment="1" applyBorder="1" applyFont="1">
      <alignment horizontal="center" shrinkToFit="0" vertical="center" wrapText="1"/>
    </xf>
    <xf borderId="8" fillId="4" fontId="2" numFmtId="0" xfId="0" applyAlignment="1" applyBorder="1" applyFont="1">
      <alignment horizontal="center" shrinkToFit="0" vertical="center" wrapText="1"/>
    </xf>
    <xf borderId="9" fillId="2" fontId="2" numFmtId="0" xfId="0" applyAlignment="1" applyBorder="1" applyFont="1">
      <alignment horizontal="center" shrinkToFit="0" vertical="center" wrapText="1"/>
    </xf>
    <xf borderId="4" fillId="2" fontId="7" numFmtId="0" xfId="0" applyAlignment="1" applyBorder="1" applyFont="1">
      <alignment horizontal="center" shrinkToFit="0" vertical="center" wrapText="1"/>
    </xf>
    <xf borderId="10" fillId="0" fontId="6" numFmtId="0" xfId="0" applyBorder="1" applyFont="1"/>
    <xf borderId="7" fillId="5" fontId="2" numFmtId="0" xfId="0" applyAlignment="1" applyBorder="1" applyFill="1" applyFont="1">
      <alignment horizontal="center" shrinkToFit="0" vertical="center" wrapText="1"/>
    </xf>
    <xf borderId="11" fillId="5" fontId="2" numFmtId="0" xfId="0" applyAlignment="1" applyBorder="1" applyFont="1">
      <alignment horizontal="center" shrinkToFit="0" vertical="center" wrapText="1"/>
    </xf>
    <xf borderId="12" fillId="6" fontId="8" numFmtId="0" xfId="0" applyAlignment="1" applyBorder="1" applyFill="1" applyFont="1">
      <alignment horizontal="center" shrinkToFit="0" vertical="center" wrapText="1"/>
    </xf>
    <xf borderId="4" fillId="6" fontId="8" numFmtId="0" xfId="0" applyAlignment="1" applyBorder="1" applyFont="1">
      <alignment horizontal="center" shrinkToFit="0" vertical="center" wrapText="1"/>
    </xf>
    <xf borderId="4" fillId="7" fontId="9" numFmtId="0" xfId="0" applyAlignment="1" applyBorder="1" applyFill="1" applyFont="1">
      <alignment horizontal="center" shrinkToFit="0" vertical="center" wrapText="1"/>
    </xf>
    <xf borderId="13" fillId="0" fontId="6" numFmtId="0" xfId="0" applyBorder="1" applyFont="1"/>
    <xf borderId="12" fillId="7" fontId="9" numFmtId="0" xfId="0" applyAlignment="1" applyBorder="1" applyFont="1">
      <alignment horizontal="center" shrinkToFit="0" vertical="center" wrapText="1"/>
    </xf>
    <xf borderId="14" fillId="0" fontId="6" numFmtId="0" xfId="0" applyBorder="1" applyFont="1"/>
    <xf borderId="15" fillId="0" fontId="6" numFmtId="0" xfId="0" applyBorder="1" applyFont="1"/>
    <xf borderId="16" fillId="0" fontId="6" numFmtId="0" xfId="0" applyBorder="1" applyFont="1"/>
    <xf borderId="4" fillId="8" fontId="8" numFmtId="0" xfId="0" applyAlignment="1" applyBorder="1" applyFill="1" applyFont="1">
      <alignment horizontal="center" shrinkToFit="0" vertical="center" wrapText="1"/>
    </xf>
    <xf borderId="17" fillId="8" fontId="8" numFmtId="0" xfId="0" applyAlignment="1" applyBorder="1" applyFont="1">
      <alignment horizontal="center" shrinkToFit="0" vertical="center" wrapText="1"/>
    </xf>
    <xf borderId="18" fillId="0" fontId="6" numFmtId="0" xfId="0" applyBorder="1" applyFont="1"/>
    <xf borderId="19" fillId="0" fontId="6" numFmtId="0" xfId="0" applyBorder="1" applyFont="1"/>
    <xf borderId="12" fillId="9" fontId="10" numFmtId="0" xfId="0" applyAlignment="1" applyBorder="1" applyFill="1" applyFont="1">
      <alignment horizontal="center" shrinkToFit="0" vertical="center" wrapText="1"/>
    </xf>
    <xf borderId="12" fillId="9" fontId="9" numFmtId="0" xfId="0" applyAlignment="1" applyBorder="1" applyFont="1">
      <alignment horizontal="center" shrinkToFit="0" vertical="center" wrapText="1"/>
    </xf>
    <xf borderId="20" fillId="0" fontId="6" numFmtId="0" xfId="0" applyBorder="1" applyFont="1"/>
    <xf borderId="21" fillId="0" fontId="6" numFmtId="0" xfId="0" applyBorder="1" applyFont="1"/>
    <xf borderId="22" fillId="0" fontId="6" numFmtId="0" xfId="0" applyBorder="1" applyFont="1"/>
    <xf borderId="23" fillId="8" fontId="8" numFmtId="0" xfId="0" applyAlignment="1" applyBorder="1" applyFont="1">
      <alignment horizontal="center" shrinkToFit="0" vertical="center" wrapText="1"/>
    </xf>
    <xf borderId="24" fillId="0" fontId="6" numFmtId="0" xfId="0" applyBorder="1" applyFont="1"/>
    <xf borderId="25" fillId="0" fontId="6" numFmtId="0" xfId="0" applyBorder="1" applyFont="1"/>
    <xf borderId="26" fillId="0" fontId="6" numFmtId="0" xfId="0" applyBorder="1" applyFont="1"/>
    <xf borderId="27" fillId="0" fontId="2" numFmtId="0" xfId="0" applyAlignment="1" applyBorder="1" applyFont="1">
      <alignment horizontal="left" vertical="center"/>
    </xf>
    <xf borderId="28" fillId="0" fontId="6" numFmtId="0" xfId="0" applyBorder="1" applyFont="1"/>
    <xf borderId="28" fillId="0" fontId="3" numFmtId="0" xfId="0" applyAlignment="1" applyBorder="1" applyFont="1">
      <alignment vertical="bottom"/>
    </xf>
    <xf borderId="29" fillId="0" fontId="4" numFmtId="0" xfId="0" applyAlignment="1" applyBorder="1" applyFont="1">
      <alignment horizontal="center" shrinkToFit="0" vertical="center" wrapText="1"/>
    </xf>
    <xf borderId="7" fillId="0" fontId="4" numFmtId="0" xfId="0" applyAlignment="1" applyBorder="1" applyFont="1">
      <alignment horizontal="center" vertical="center"/>
    </xf>
    <xf borderId="29" fillId="0" fontId="4" numFmtId="0" xfId="0" applyAlignment="1" applyBorder="1" applyFont="1">
      <alignment horizontal="center" vertical="center"/>
    </xf>
    <xf borderId="0" fillId="0" fontId="4" numFmtId="0" xfId="0" applyAlignment="1" applyFont="1">
      <alignment horizontal="center" vertical="center"/>
    </xf>
    <xf borderId="20" fillId="0" fontId="1" numFmtId="0" xfId="0" applyAlignment="1" applyBorder="1" applyFont="1">
      <alignment horizontal="center" vertical="center"/>
    </xf>
    <xf borderId="20" fillId="0" fontId="1" numFmtId="0" xfId="0" applyAlignment="1" applyBorder="1" applyFont="1">
      <alignment horizontal="left" vertical="center"/>
    </xf>
    <xf borderId="20" fillId="0" fontId="3" numFmtId="3" xfId="0" applyAlignment="1" applyBorder="1" applyFont="1" applyNumberFormat="1">
      <alignment horizontal="center" vertical="center"/>
    </xf>
    <xf borderId="20" fillId="0" fontId="3" numFmtId="0" xfId="0" applyAlignment="1" applyBorder="1" applyFont="1">
      <alignment horizontal="center" vertical="center"/>
    </xf>
    <xf borderId="20" fillId="0" fontId="4" numFmtId="0" xfId="0" applyAlignment="1" applyBorder="1" applyFont="1">
      <alignment horizontal="center" vertical="center"/>
    </xf>
    <xf borderId="20" fillId="0" fontId="11" numFmtId="3" xfId="0" applyAlignment="1" applyBorder="1" applyFont="1" applyNumberFormat="1">
      <alignment horizontal="center" vertical="center"/>
    </xf>
    <xf borderId="27" fillId="0" fontId="3" numFmtId="0" xfId="0" applyAlignment="1" applyBorder="1" applyFont="1">
      <alignment shrinkToFit="0" vertical="bottom" wrapText="1"/>
    </xf>
    <xf borderId="29" fillId="0" fontId="12" numFmtId="0" xfId="0" applyAlignment="1" applyBorder="1" applyFont="1">
      <alignment horizontal="center" vertical="center"/>
    </xf>
    <xf borderId="29" fillId="0" fontId="4" numFmtId="3" xfId="0" applyAlignment="1" applyBorder="1" applyFont="1" applyNumberFormat="1">
      <alignment horizontal="center" shrinkToFit="0" vertical="center" wrapText="1"/>
    </xf>
    <xf borderId="29" fillId="0" fontId="13" numFmtId="0" xfId="0" applyAlignment="1" applyBorder="1" applyFont="1">
      <alignment horizontal="center" vertical="center"/>
    </xf>
    <xf borderId="29" fillId="0" fontId="13" numFmtId="0" xfId="0" applyAlignment="1" applyBorder="1" applyFont="1">
      <alignment horizontal="center" shrinkToFit="0" vertical="center" wrapText="1"/>
    </xf>
    <xf borderId="30" fillId="2" fontId="1" numFmtId="0" xfId="0" applyAlignment="1" applyBorder="1" applyFont="1">
      <alignment horizontal="center" shrinkToFit="0" vertical="center" wrapText="1"/>
    </xf>
    <xf borderId="23" fillId="2" fontId="1" numFmtId="0" xfId="0" applyAlignment="1" applyBorder="1" applyFont="1">
      <alignment horizontal="center" shrinkToFit="0" vertical="center" wrapText="1"/>
    </xf>
    <xf borderId="23" fillId="2" fontId="14" numFmtId="0" xfId="0" applyAlignment="1" applyBorder="1" applyFont="1">
      <alignment horizontal="center" shrinkToFit="0" vertical="center" wrapText="1"/>
    </xf>
    <xf borderId="23" fillId="10" fontId="14" numFmtId="2" xfId="0" applyAlignment="1" applyBorder="1" applyFill="1" applyFont="1" applyNumberFormat="1">
      <alignment horizontal="center" shrinkToFit="0" vertical="center" wrapText="1"/>
    </xf>
    <xf borderId="23" fillId="0" fontId="14" numFmtId="0" xfId="0" applyAlignment="1" applyBorder="1" applyFont="1">
      <alignment horizontal="center" shrinkToFit="0" vertical="center" wrapText="1"/>
    </xf>
    <xf borderId="0" fillId="0" fontId="15" numFmtId="0" xfId="0" applyAlignment="1" applyFont="1">
      <alignment horizontal="center" shrinkToFit="0" vertical="center" wrapText="1"/>
    </xf>
    <xf borderId="29" fillId="0" fontId="1" numFmtId="0" xfId="0" applyAlignment="1" applyBorder="1" applyFont="1">
      <alignment horizontal="center" vertical="center"/>
    </xf>
    <xf borderId="29" fillId="0" fontId="1" numFmtId="0" xfId="0" applyAlignment="1" applyBorder="1" applyFont="1">
      <alignment horizontal="left" vertical="center"/>
    </xf>
    <xf borderId="29" fillId="0" fontId="3" numFmtId="0" xfId="0" applyAlignment="1" applyBorder="1" applyFont="1">
      <alignment horizontal="center" vertical="center"/>
    </xf>
    <xf borderId="20" fillId="0" fontId="11" numFmtId="0" xfId="0" applyAlignment="1" applyBorder="1" applyFont="1">
      <alignment horizontal="center" vertical="center"/>
    </xf>
    <xf borderId="31" fillId="0" fontId="3" numFmtId="0" xfId="0" applyAlignment="1" applyBorder="1" applyFont="1">
      <alignment shrinkToFit="0" vertical="bottom" wrapText="1"/>
    </xf>
    <xf borderId="30" fillId="2" fontId="14" numFmtId="0" xfId="0" applyAlignment="1" applyBorder="1" applyFont="1">
      <alignment horizontal="center" shrinkToFit="0" vertical="center" wrapText="1"/>
    </xf>
    <xf borderId="29" fillId="0" fontId="1" numFmtId="3" xfId="0" applyAlignment="1" applyBorder="1" applyFont="1" applyNumberFormat="1">
      <alignment horizontal="center" shrinkToFit="0" vertical="center" wrapText="1"/>
    </xf>
    <xf borderId="29" fillId="0" fontId="3" numFmtId="3" xfId="0" applyAlignment="1" applyBorder="1" applyFont="1" applyNumberFormat="1">
      <alignment horizontal="center" vertical="center"/>
    </xf>
    <xf borderId="31" fillId="0" fontId="16" numFmtId="0" xfId="0" applyAlignment="1" applyBorder="1" applyFont="1">
      <alignment horizontal="center" shrinkToFit="0" vertical="bottom" wrapText="1"/>
    </xf>
    <xf borderId="29" fillId="0" fontId="12" numFmtId="3" xfId="0" applyAlignment="1" applyBorder="1" applyFont="1" applyNumberFormat="1">
      <alignment horizontal="center" vertical="center"/>
    </xf>
    <xf borderId="29" fillId="0" fontId="12" numFmtId="0" xfId="0" applyAlignment="1" applyBorder="1" applyFont="1">
      <alignment horizontal="center" shrinkToFit="0" vertical="center" wrapText="1"/>
    </xf>
    <xf borderId="30" fillId="2" fontId="14" numFmtId="0" xfId="0" applyAlignment="1" applyBorder="1" applyFont="1">
      <alignment horizontal="left" shrinkToFit="0" vertical="center" wrapText="1"/>
    </xf>
    <xf borderId="29" fillId="11" fontId="1" numFmtId="0" xfId="0" applyAlignment="1" applyBorder="1" applyFill="1" applyFont="1">
      <alignment horizontal="center" shrinkToFit="0" vertical="center" wrapText="1"/>
    </xf>
    <xf borderId="29" fillId="11" fontId="3" numFmtId="0" xfId="0" applyAlignment="1" applyBorder="1" applyFont="1">
      <alignment horizontal="center" vertical="center"/>
    </xf>
    <xf borderId="29" fillId="0" fontId="1" numFmtId="0" xfId="0" applyAlignment="1" applyBorder="1" applyFont="1">
      <alignment horizontal="center" shrinkToFit="0" vertical="center" wrapText="1"/>
    </xf>
    <xf borderId="30" fillId="2" fontId="1" numFmtId="0" xfId="0" applyAlignment="1" applyBorder="1" applyFont="1">
      <alignment horizontal="left" shrinkToFit="0" vertical="center" wrapText="1"/>
    </xf>
    <xf borderId="29" fillId="0" fontId="1" numFmtId="0" xfId="0" applyAlignment="1" applyBorder="1" applyFont="1">
      <alignment horizontal="left" shrinkToFit="0" vertical="center" wrapText="1"/>
    </xf>
    <xf borderId="23" fillId="0" fontId="14" numFmtId="0" xfId="0" applyAlignment="1" applyBorder="1" applyFont="1">
      <alignment horizontal="left" shrinkToFit="0" vertical="center" wrapText="1"/>
    </xf>
    <xf borderId="29" fillId="0" fontId="1" numFmtId="0" xfId="0" applyAlignment="1" applyBorder="1" applyFont="1">
      <alignment vertical="center"/>
    </xf>
    <xf borderId="31" fillId="0" fontId="16" numFmtId="0" xfId="0" applyAlignment="1" applyBorder="1" applyFont="1">
      <alignment horizontal="center" readingOrder="0" shrinkToFit="0" vertical="bottom" wrapText="1"/>
    </xf>
    <xf borderId="29" fillId="0" fontId="1" numFmtId="0" xfId="0" applyAlignment="1" applyBorder="1" applyFont="1">
      <alignment shrinkToFit="0" vertical="center" wrapText="1"/>
    </xf>
    <xf borderId="29" fillId="0" fontId="1" numFmtId="0" xfId="0" applyAlignment="1" applyBorder="1" applyFont="1">
      <alignment horizontal="center" readingOrder="0" vertical="center"/>
    </xf>
    <xf borderId="29" fillId="0" fontId="3" numFmtId="0" xfId="0" applyAlignment="1" applyBorder="1" applyFont="1">
      <alignment horizontal="center" readingOrder="0" vertical="center"/>
    </xf>
    <xf borderId="23" fillId="0" fontId="14" numFmtId="0" xfId="0" applyAlignment="1" applyBorder="1" applyFont="1">
      <alignment horizontal="center" readingOrder="0" shrinkToFit="0" vertical="center" wrapText="1"/>
    </xf>
    <xf borderId="29" fillId="11" fontId="1" numFmtId="0" xfId="0" applyAlignment="1" applyBorder="1" applyFont="1">
      <alignment vertical="center"/>
    </xf>
    <xf borderId="23" fillId="0" fontId="1" numFmtId="0" xfId="0" applyAlignment="1" applyBorder="1" applyFont="1">
      <alignment horizontal="center" readingOrder="0" shrinkToFit="0" vertical="center" wrapText="1"/>
    </xf>
    <xf borderId="31" fillId="0" fontId="17" numFmtId="0" xfId="0" applyAlignment="1" applyBorder="1" applyFont="1">
      <alignment horizontal="center" readingOrder="0" shrinkToFit="0" vertical="bottom" wrapText="1"/>
    </xf>
    <xf borderId="29" fillId="0" fontId="12" numFmtId="0" xfId="0" applyAlignment="1" applyBorder="1" applyFont="1">
      <alignment horizontal="center" readingOrder="0" vertical="center"/>
    </xf>
    <xf borderId="23" fillId="2" fontId="14" numFmtId="0" xfId="0" applyAlignment="1" applyBorder="1" applyFont="1">
      <alignment horizontal="center" readingOrder="0" shrinkToFit="0" vertical="center" wrapText="1"/>
    </xf>
    <xf borderId="31" fillId="0" fontId="1" numFmtId="0" xfId="0" applyAlignment="1" applyBorder="1" applyFont="1">
      <alignment shrinkToFit="0" vertical="bottom" wrapText="1"/>
    </xf>
    <xf borderId="23" fillId="0" fontId="1" numFmtId="0" xfId="0" applyAlignment="1" applyBorder="1" applyFont="1">
      <alignment horizontal="center" shrinkToFit="0" vertical="center" wrapText="1"/>
    </xf>
    <xf borderId="31" fillId="0" fontId="2" numFmtId="0" xfId="0" applyAlignment="1" applyBorder="1" applyFont="1">
      <alignment horizontal="right" vertical="center"/>
    </xf>
    <xf borderId="32" fillId="0" fontId="6" numFmtId="0" xfId="0" applyBorder="1" applyFont="1"/>
    <xf borderId="33" fillId="0" fontId="6" numFmtId="0" xfId="0" applyBorder="1" applyFont="1"/>
    <xf borderId="29" fillId="12" fontId="2" numFmtId="3" xfId="0" applyAlignment="1" applyBorder="1" applyFill="1" applyFont="1" applyNumberFormat="1">
      <alignment horizontal="center" vertical="center"/>
    </xf>
    <xf borderId="29" fillId="0" fontId="2" numFmtId="3" xfId="0" applyAlignment="1" applyBorder="1" applyFont="1" applyNumberFormat="1">
      <alignment horizontal="center" vertical="center"/>
    </xf>
    <xf borderId="20" fillId="0" fontId="4" numFmtId="3" xfId="0" applyAlignment="1" applyBorder="1" applyFont="1" applyNumberFormat="1">
      <alignment horizontal="center" vertical="bottom"/>
    </xf>
    <xf borderId="31" fillId="0" fontId="18" numFmtId="0" xfId="0" applyAlignment="1" applyBorder="1" applyFont="1">
      <alignment horizontal="center" shrinkToFit="0" vertical="center" wrapText="1"/>
    </xf>
    <xf borderId="33" fillId="0" fontId="18" numFmtId="0" xfId="0" applyAlignment="1" applyBorder="1" applyFont="1">
      <alignment horizontal="center" vertical="center"/>
    </xf>
    <xf borderId="29" fillId="0" fontId="18" numFmtId="0" xfId="0" applyAlignment="1" applyBorder="1" applyFont="1">
      <alignment horizontal="center" vertical="center"/>
    </xf>
    <xf borderId="29" fillId="0" fontId="3" numFmtId="0" xfId="0" applyAlignment="1" applyBorder="1" applyFont="1">
      <alignment vertical="bottom"/>
    </xf>
    <xf borderId="0" fillId="0" fontId="19" numFmtId="0" xfId="0" applyAlignment="1" applyFont="1">
      <alignment vertical="bottom"/>
    </xf>
    <xf borderId="0" fillId="0" fontId="4" numFmtId="3" xfId="0" applyAlignment="1" applyFont="1" applyNumberFormat="1">
      <alignment vertical="bottom"/>
    </xf>
    <xf borderId="34" fillId="2" fontId="20" numFmtId="0" xfId="0" applyAlignment="1" applyBorder="1" applyFont="1">
      <alignment horizontal="center" shrinkToFit="0" vertical="center" wrapText="1"/>
    </xf>
    <xf borderId="35" fillId="0" fontId="6" numFmtId="0" xfId="0" applyBorder="1" applyFont="1"/>
    <xf borderId="36" fillId="0" fontId="6" numFmtId="0" xfId="0" applyBorder="1" applyFont="1"/>
    <xf borderId="34" fillId="2" fontId="21" numFmtId="0" xfId="0" applyAlignment="1" applyBorder="1" applyFont="1">
      <alignment horizontal="center" shrinkToFit="0" vertical="center" wrapText="1"/>
    </xf>
    <xf borderId="0" fillId="0" fontId="22" numFmtId="0" xfId="0" applyAlignment="1" applyFont="1">
      <alignment vertical="bottom"/>
    </xf>
    <xf borderId="23" fillId="7" fontId="9" numFmtId="0" xfId="0" applyAlignment="1" applyBorder="1" applyFont="1">
      <alignment horizontal="center" shrinkToFit="0" vertical="center" wrapText="1"/>
    </xf>
    <xf borderId="12" fillId="13" fontId="23" numFmtId="0" xfId="0" applyAlignment="1" applyBorder="1" applyFill="1" applyFont="1">
      <alignment horizontal="center" shrinkToFit="0" vertical="center" wrapText="1"/>
    </xf>
    <xf borderId="23" fillId="0" fontId="24" numFmtId="0" xfId="0" applyAlignment="1" applyBorder="1" applyFont="1">
      <alignment horizontal="center" shrinkToFit="0" vertical="center" wrapText="1"/>
    </xf>
    <xf borderId="23" fillId="0" fontId="14" numFmtId="2" xfId="0" applyAlignment="1" applyBorder="1" applyFont="1" applyNumberFormat="1">
      <alignment horizontal="center" shrinkToFit="0" vertical="center" wrapText="1"/>
    </xf>
    <xf borderId="23" fillId="0" fontId="15" numFmtId="0" xfId="0" applyAlignment="1" applyBorder="1" applyFont="1">
      <alignment horizontal="center" shrinkToFit="0" vertical="center" wrapText="1"/>
    </xf>
    <xf borderId="23" fillId="11" fontId="8" numFmtId="0" xfId="0" applyAlignment="1" applyBorder="1" applyFont="1">
      <alignment horizontal="center" shrinkToFit="0" vertical="center" wrapText="1"/>
    </xf>
    <xf borderId="23" fillId="11" fontId="8" numFmtId="0" xfId="0" applyAlignment="1" applyBorder="1" applyFont="1">
      <alignment horizontal="left" shrinkToFit="0" vertical="center" wrapText="1"/>
    </xf>
    <xf borderId="23" fillId="11" fontId="8" numFmtId="2" xfId="0" applyAlignment="1" applyBorder="1" applyFont="1" applyNumberFormat="1">
      <alignment horizontal="center" shrinkToFit="0" vertical="center" wrapText="1"/>
    </xf>
    <xf borderId="23" fillId="11" fontId="8" numFmtId="0" xfId="0" applyAlignment="1" applyBorder="1" applyFont="1">
      <alignment horizontal="left" readingOrder="0" shrinkToFit="0" vertical="center" wrapText="1"/>
    </xf>
    <xf borderId="23" fillId="11" fontId="8" numFmtId="0" xfId="0" applyAlignment="1" applyBorder="1" applyFont="1">
      <alignment horizontal="center" readingOrder="0" shrinkToFit="0" vertical="center" wrapText="1"/>
    </xf>
    <xf borderId="23" fillId="0" fontId="8" numFmtId="0" xfId="0" applyAlignment="1" applyBorder="1" applyFont="1">
      <alignment horizontal="center" readingOrder="0" shrinkToFit="0" vertical="center" wrapText="1"/>
    </xf>
    <xf borderId="23" fillId="0" fontId="8" numFmtId="0" xfId="0" applyAlignment="1" applyBorder="1" applyFont="1">
      <alignment horizontal="left" shrinkToFit="0" vertical="center" wrapText="1"/>
    </xf>
    <xf borderId="23" fillId="0" fontId="2" numFmtId="0" xfId="0" applyAlignment="1" applyBorder="1" applyFont="1">
      <alignment horizontal="center" shrinkToFit="0" vertical="center" wrapText="1"/>
    </xf>
    <xf borderId="0" fillId="0" fontId="25" numFmtId="0" xfId="0" applyAlignment="1" applyFont="1">
      <alignment vertical="bottom"/>
    </xf>
    <xf borderId="0" fillId="0" fontId="26" numFmtId="0" xfId="0" applyAlignment="1" applyFont="1">
      <alignment vertical="bottom"/>
    </xf>
    <xf borderId="4" fillId="7" fontId="10" numFmtId="0" xfId="0" applyAlignment="1" applyBorder="1" applyFont="1">
      <alignment horizontal="center" shrinkToFit="0" vertical="center" wrapText="1"/>
    </xf>
    <xf borderId="37" fillId="9" fontId="27" numFmtId="0" xfId="0" applyAlignment="1" applyBorder="1" applyFont="1">
      <alignment horizontal="center" shrinkToFit="0" vertical="center" wrapText="1"/>
    </xf>
    <xf borderId="38" fillId="0" fontId="6" numFmtId="0" xfId="0" applyBorder="1" applyFont="1"/>
    <xf borderId="39" fillId="7" fontId="10" numFmtId="0" xfId="0" applyAlignment="1" applyBorder="1" applyFont="1">
      <alignment horizontal="center" shrinkToFit="0" vertical="center" wrapText="1"/>
    </xf>
    <xf borderId="12" fillId="7" fontId="10" numFmtId="0" xfId="0" applyAlignment="1" applyBorder="1" applyFont="1">
      <alignment horizontal="center" shrinkToFit="0" vertical="center" wrapText="1"/>
    </xf>
    <xf borderId="23" fillId="7" fontId="10" numFmtId="0" xfId="0" applyAlignment="1" applyBorder="1" applyFont="1">
      <alignment shrinkToFit="0" vertical="center" wrapText="1"/>
    </xf>
    <xf borderId="40" fillId="0" fontId="6" numFmtId="0" xfId="0" applyBorder="1" applyFont="1"/>
    <xf borderId="41" fillId="0" fontId="6" numFmtId="0" xfId="0" applyBorder="1" applyFont="1"/>
    <xf borderId="42" fillId="0" fontId="6" numFmtId="0" xfId="0" applyBorder="1" applyFont="1"/>
    <xf borderId="23" fillId="7" fontId="10" numFmtId="0" xfId="0" applyAlignment="1" applyBorder="1" applyFont="1">
      <alignment horizontal="center" shrinkToFit="0" vertical="center" wrapText="1"/>
    </xf>
    <xf borderId="23" fillId="9" fontId="27" numFmtId="0" xfId="0" applyAlignment="1" applyBorder="1" applyFont="1">
      <alignment horizontal="center" shrinkToFit="0" vertical="center" wrapText="1"/>
    </xf>
    <xf borderId="43" fillId="0" fontId="6" numFmtId="0" xfId="0" applyBorder="1" applyFont="1"/>
    <xf borderId="23" fillId="10" fontId="24" numFmtId="9" xfId="0" applyAlignment="1" applyBorder="1" applyFont="1" applyNumberFormat="1">
      <alignment horizontal="center" shrinkToFit="0" vertical="center" wrapText="1"/>
    </xf>
    <xf borderId="23" fillId="10" fontId="24" numFmtId="0" xfId="0" applyAlignment="1" applyBorder="1" applyFont="1">
      <alignment horizontal="left" shrinkToFit="0" vertical="center" wrapText="1"/>
    </xf>
    <xf borderId="23" fillId="2" fontId="14" numFmtId="164" xfId="0" applyAlignment="1" applyBorder="1" applyFont="1" applyNumberFormat="1">
      <alignment horizontal="center" shrinkToFit="0" vertical="center" wrapText="1"/>
    </xf>
    <xf borderId="23" fillId="14" fontId="14" numFmtId="164" xfId="0" applyAlignment="1" applyBorder="1" applyFill="1" applyFont="1" applyNumberFormat="1">
      <alignment horizontal="center" shrinkToFit="0" vertical="center" wrapText="1"/>
    </xf>
    <xf borderId="23" fillId="2" fontId="14" numFmtId="164" xfId="0" applyAlignment="1" applyBorder="1" applyFont="1" applyNumberFormat="1">
      <alignment horizontal="center" readingOrder="0" shrinkToFit="0" vertical="center" wrapText="1"/>
    </xf>
    <xf borderId="23" fillId="14" fontId="14" numFmtId="164" xfId="0" applyAlignment="1" applyBorder="1" applyFont="1" applyNumberFormat="1">
      <alignment horizontal="center" readingOrder="0" shrinkToFit="0" vertical="center" wrapText="1"/>
    </xf>
    <xf borderId="23" fillId="0" fontId="14" numFmtId="164" xfId="0" applyAlignment="1" applyBorder="1" applyFont="1" applyNumberFormat="1">
      <alignment horizontal="center" shrinkToFit="0" vertical="center" wrapText="1"/>
    </xf>
    <xf borderId="0" fillId="0" fontId="14" numFmtId="0" xfId="0" applyAlignment="1" applyFont="1">
      <alignment horizontal="center" shrinkToFit="0" vertical="center" wrapText="1"/>
    </xf>
    <xf borderId="0" fillId="0" fontId="14" numFmtId="0" xfId="0" applyAlignment="1" applyFont="1">
      <alignment horizontal="left" shrinkToFit="0" vertical="center" wrapText="1"/>
    </xf>
    <xf borderId="0" fillId="0" fontId="28" numFmtId="0" xfId="0" applyAlignment="1" applyFont="1">
      <alignment horizontal="center" shrinkToFit="0" vertical="center" wrapText="1"/>
    </xf>
    <xf borderId="0" fillId="0" fontId="3" numFmtId="165" xfId="0" applyAlignment="1" applyFont="1" applyNumberFormat="1">
      <alignment vertical="bottom"/>
    </xf>
    <xf borderId="0" fillId="0" fontId="29" numFmtId="0" xfId="0" applyAlignment="1" applyFont="1">
      <alignment vertical="bottom"/>
    </xf>
    <xf borderId="12" fillId="0" fontId="30" numFmtId="0" xfId="0" applyAlignment="1" applyBorder="1" applyFont="1">
      <alignment horizontal="left" shrinkToFit="0" vertical="center" wrapText="1"/>
    </xf>
    <xf borderId="12" fillId="0" fontId="30" numFmtId="0" xfId="0" applyAlignment="1" applyBorder="1" applyFont="1">
      <alignment horizontal="center" shrinkToFit="0" vertical="center" wrapText="1"/>
    </xf>
    <xf borderId="23" fillId="0" fontId="30" numFmtId="0" xfId="0" applyAlignment="1" applyBorder="1" applyFont="1">
      <alignment horizontal="center" shrinkToFit="0" vertical="center" wrapText="1"/>
    </xf>
    <xf borderId="12" fillId="0" fontId="24" numFmtId="9" xfId="0" applyAlignment="1" applyBorder="1" applyFont="1" applyNumberFormat="1">
      <alignment horizontal="center" shrinkToFit="0" vertical="center" wrapText="1"/>
    </xf>
    <xf borderId="12" fillId="0" fontId="14" numFmtId="0" xfId="0" applyAlignment="1" applyBorder="1" applyFont="1">
      <alignment horizontal="center" shrinkToFit="0" vertical="center" wrapText="1"/>
    </xf>
    <xf borderId="23" fillId="0" fontId="31" numFmtId="0" xfId="0" applyAlignment="1" applyBorder="1" applyFont="1">
      <alignment horizontal="center" vertical="center"/>
    </xf>
    <xf borderId="0" fillId="0" fontId="3" numFmtId="166" xfId="0" applyAlignment="1" applyFont="1" applyNumberFormat="1">
      <alignment vertical="bottom"/>
    </xf>
    <xf borderId="0" fillId="0" fontId="3" numFmtId="167" xfId="0" applyAlignment="1" applyFont="1" applyNumberFormat="1">
      <alignment vertical="bottom"/>
    </xf>
    <xf borderId="23" fillId="0" fontId="14" numFmtId="9" xfId="0" applyAlignment="1" applyBorder="1" applyFont="1" applyNumberFormat="1">
      <alignment horizontal="center" shrinkToFit="0" vertical="center" wrapText="1"/>
    </xf>
  </cellXfs>
  <cellStyles count="1">
    <cellStyle xfId="0" name="Normal" builtinId="0"/>
  </cellStyles>
  <dxfs count="19">
    <dxf>
      <font>
        <b/>
        <sz val="10.0"/>
        <color rgb="FFFFFFFF"/>
        <name val="Arial"/>
      </font>
      <fill>
        <patternFill patternType="solid">
          <fgColor rgb="FFC00000"/>
          <bgColor rgb="FFC00000"/>
        </patternFill>
      </fill>
      <border/>
    </dxf>
    <dxf>
      <font>
        <b/>
        <sz val="10.0"/>
        <color rgb="FFFFFFFF"/>
        <name val="Arial"/>
      </font>
      <fill>
        <patternFill patternType="solid">
          <fgColor rgb="FFE97132"/>
          <bgColor rgb="FFE97132"/>
        </patternFill>
      </fill>
      <border/>
    </dxf>
    <dxf>
      <font>
        <b/>
        <sz val="10.0"/>
        <color rgb="FFFFFFFF"/>
        <name val="Arial"/>
      </font>
      <fill>
        <patternFill patternType="solid">
          <fgColor rgb="FFBF8F00"/>
          <bgColor rgb="FFBF8F00"/>
        </patternFill>
      </fill>
      <border/>
    </dxf>
    <dxf>
      <font>
        <b/>
        <sz val="10.0"/>
        <color rgb="FFFFFFFF"/>
        <name val="Arial"/>
      </font>
      <fill>
        <patternFill patternType="solid">
          <fgColor rgb="FF4F81BD"/>
          <bgColor rgb="FF4F81BD"/>
        </patternFill>
      </fill>
      <border/>
    </dxf>
    <dxf>
      <font>
        <b/>
        <sz val="10.0"/>
        <color rgb="FFFFFFFF"/>
        <name val="Arial"/>
      </font>
      <fill>
        <patternFill patternType="solid">
          <fgColor rgb="FF2E75B6"/>
          <bgColor rgb="FF2E75B6"/>
        </patternFill>
      </fill>
      <border/>
    </dxf>
    <dxf>
      <font>
        <b/>
        <sz val="10.0"/>
        <color rgb="FFC00000"/>
        <name val="Arial"/>
      </font>
      <fill>
        <patternFill patternType="solid">
          <fgColor rgb="FFFBE5D6"/>
          <bgColor rgb="FFFBE5D6"/>
        </patternFill>
      </fill>
      <border/>
    </dxf>
    <dxf>
      <font>
        <b/>
        <sz val="10.0"/>
        <color rgb="FFBF8F00"/>
        <name val="Arial"/>
      </font>
      <fill>
        <patternFill patternType="solid">
          <fgColor rgb="FFFFF2CC"/>
          <bgColor rgb="FFFFF2CC"/>
        </patternFill>
      </fill>
      <border/>
    </dxf>
    <dxf>
      <font>
        <b/>
        <sz val="10.0"/>
        <color rgb="FF548235"/>
        <name val="Arial"/>
      </font>
      <fill>
        <patternFill patternType="solid">
          <fgColor rgb="FFE2EFDA"/>
          <bgColor rgb="FFE2EFDA"/>
        </patternFill>
      </fill>
      <border/>
    </dxf>
    <dxf>
      <font>
        <i/>
        <sz val="10.0"/>
        <color rgb="FFB7B7B7"/>
        <name val="Arial"/>
      </font>
      <fill>
        <patternFill patternType="solid">
          <fgColor rgb="FFF2F2F2"/>
          <bgColor rgb="FFF2F2F2"/>
        </patternFill>
      </fill>
      <border/>
    </dxf>
    <dxf>
      <font/>
      <fill>
        <patternFill patternType="solid">
          <fgColor rgb="FFFBE5D6"/>
          <bgColor rgb="FFFBE5D6"/>
        </patternFill>
      </fill>
      <border/>
    </dxf>
    <dxf>
      <font/>
      <fill>
        <patternFill patternType="solid">
          <fgColor rgb="FFFFF2CC"/>
          <bgColor rgb="FFFFF2CC"/>
        </patternFill>
      </fill>
      <border/>
    </dxf>
    <dxf>
      <font/>
      <fill>
        <patternFill patternType="solid">
          <fgColor rgb="FFE2EFDA"/>
          <bgColor rgb="FFE2EFDA"/>
        </patternFill>
      </fill>
      <border/>
    </dxf>
    <dxf>
      <font/>
      <fill>
        <patternFill patternType="solid">
          <fgColor rgb="FFC6E0B4"/>
          <bgColor rgb="FFC6E0B4"/>
        </patternFill>
      </fill>
      <border/>
    </dxf>
    <dxf>
      <font/>
      <fill>
        <patternFill patternType="solid">
          <fgColor rgb="FFF8CBAD"/>
          <bgColor rgb="FFF8CBAD"/>
        </patternFill>
      </fill>
      <border/>
    </dxf>
    <dxf>
      <font/>
      <fill>
        <patternFill patternType="solid">
          <fgColor rgb="FFF8696B"/>
          <bgColor rgb="FFF8696B"/>
        </patternFill>
      </fill>
      <border/>
    </dxf>
    <dxf>
      <font/>
      <fill>
        <patternFill patternType="solid">
          <fgColor rgb="FF70AD47"/>
          <bgColor rgb="FF70AD47"/>
        </patternFill>
      </fill>
      <border/>
    </dxf>
    <dxf>
      <font>
        <b/>
        <sz val="10.0"/>
        <color rgb="FFFFFFFF"/>
        <name val="Arial"/>
      </font>
      <fill>
        <patternFill patternType="solid">
          <fgColor rgb="FFF8696B"/>
          <bgColor rgb="FFF8696B"/>
        </patternFill>
      </fill>
      <border/>
    </dxf>
    <dxf>
      <font>
        <b/>
        <sz val="10.0"/>
        <color rgb="FFFFFFFF"/>
        <name val="Arial"/>
      </font>
      <fill>
        <patternFill patternType="solid">
          <fgColor rgb="FF63BE7B"/>
          <bgColor rgb="FF63BE7B"/>
        </patternFill>
      </fill>
      <border/>
    </dxf>
    <dxf>
      <font/>
      <fill>
        <patternFill patternType="solid">
          <fgColor rgb="FF4472C4"/>
          <bgColor rgb="FF4472C4"/>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fitToPage="1"/>
  </sheetPr>
  <sheetViews>
    <sheetView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4.43" defaultRowHeight="15.0"/>
  <cols>
    <col customWidth="1" min="1" max="1" width="5.43"/>
    <col customWidth="1" min="2" max="2" width="47.71"/>
    <col customWidth="1" min="3" max="10" width="15.57"/>
    <col customWidth="1" min="11" max="11" width="14.71"/>
    <col customWidth="1" min="12" max="12" width="23.71"/>
    <col customWidth="1" min="13" max="14" width="25.29"/>
    <col customWidth="1" min="15" max="15" width="17.86"/>
    <col customWidth="1" min="16" max="17" width="14.57"/>
    <col customWidth="1" min="18" max="18" width="14.71"/>
    <col customWidth="1" min="19" max="24" width="13.0"/>
    <col customWidth="1" min="25" max="25" width="12.0"/>
    <col customWidth="1" min="26" max="26" width="14.0"/>
    <col customWidth="1" min="27" max="27" width="24.57"/>
    <col customWidth="1" min="28" max="28" width="30.0"/>
    <col customWidth="1" min="29" max="29" width="18.0"/>
    <col customWidth="1" hidden="1" min="30" max="30" width="10.0"/>
    <col customWidth="1" hidden="1" min="52" max="52" width="10.0"/>
  </cols>
  <sheetData>
    <row r="1" ht="15.0" customHeight="1">
      <c r="A1" s="1" t="s">
        <v>0</v>
      </c>
      <c r="B1" s="1"/>
      <c r="C1" s="1"/>
      <c r="D1" s="2"/>
      <c r="E1" s="3"/>
      <c r="F1" s="2"/>
      <c r="G1" s="4"/>
      <c r="H1" s="4"/>
      <c r="I1" s="4"/>
      <c r="J1" s="4"/>
      <c r="K1" s="4"/>
      <c r="L1" s="4"/>
      <c r="M1" s="4"/>
      <c r="N1" s="5"/>
      <c r="O1" s="4"/>
      <c r="P1" s="4"/>
      <c r="Q1" s="4"/>
      <c r="R1" s="4"/>
      <c r="S1" s="4"/>
      <c r="T1" s="4"/>
      <c r="U1" s="4"/>
      <c r="V1" s="4"/>
      <c r="W1" s="4"/>
      <c r="X1" s="4"/>
      <c r="Y1" s="4"/>
      <c r="Z1" s="4"/>
      <c r="AA1" s="4"/>
      <c r="AB1" s="3"/>
      <c r="AC1" s="3"/>
      <c r="AD1" s="3"/>
      <c r="AZ1" s="3"/>
    </row>
    <row r="2" ht="36.0" customHeight="1">
      <c r="A2" s="6" t="s">
        <v>1</v>
      </c>
      <c r="B2" s="7"/>
      <c r="C2" s="7"/>
      <c r="D2" s="7"/>
      <c r="E2" s="7"/>
      <c r="F2" s="7"/>
      <c r="G2" s="7"/>
      <c r="H2" s="7"/>
      <c r="I2" s="7"/>
      <c r="J2" s="7"/>
      <c r="K2" s="7"/>
      <c r="L2" s="7"/>
      <c r="M2" s="7"/>
      <c r="N2" s="7"/>
      <c r="O2" s="7"/>
      <c r="P2" s="7"/>
      <c r="Q2" s="7"/>
      <c r="R2" s="7"/>
      <c r="S2" s="7"/>
      <c r="T2" s="7"/>
      <c r="U2" s="7"/>
      <c r="V2" s="7"/>
      <c r="W2" s="7"/>
      <c r="X2" s="7"/>
      <c r="Y2" s="7"/>
      <c r="Z2" s="7"/>
      <c r="AA2" s="7"/>
      <c r="AB2" s="7"/>
      <c r="AC2" s="8"/>
      <c r="AD2" s="3"/>
      <c r="AZ2" s="3"/>
    </row>
    <row r="3" ht="15.0" customHeight="1">
      <c r="A3" s="9" t="s">
        <v>2</v>
      </c>
      <c r="E3" s="3"/>
      <c r="F3" s="3"/>
      <c r="G3" s="4"/>
      <c r="H3" s="4"/>
      <c r="I3" s="4"/>
      <c r="J3" s="4"/>
      <c r="K3" s="4"/>
      <c r="L3" s="4"/>
      <c r="M3" s="4"/>
      <c r="N3" s="5"/>
      <c r="O3" s="4"/>
      <c r="P3" s="4"/>
      <c r="Q3" s="4"/>
      <c r="R3" s="4"/>
      <c r="S3" s="4"/>
      <c r="T3" s="4"/>
      <c r="U3" s="4"/>
      <c r="V3" s="4"/>
      <c r="W3" s="4"/>
      <c r="X3" s="4"/>
      <c r="Y3" s="4"/>
      <c r="Z3" s="4"/>
      <c r="AA3" s="4"/>
      <c r="AB3" s="3"/>
      <c r="AC3" s="3"/>
      <c r="AD3" s="3"/>
      <c r="AZ3" s="3"/>
    </row>
    <row r="4" ht="15.0" customHeight="1">
      <c r="A4" s="9" t="s">
        <v>3</v>
      </c>
      <c r="E4" s="3"/>
      <c r="F4" s="3"/>
      <c r="G4" s="4"/>
      <c r="H4" s="4"/>
      <c r="I4" s="4"/>
      <c r="J4" s="4"/>
      <c r="K4" s="4"/>
      <c r="L4" s="4"/>
      <c r="M4" s="4"/>
      <c r="N4" s="5"/>
      <c r="O4" s="4"/>
      <c r="P4" s="4"/>
      <c r="Q4" s="4"/>
      <c r="R4" s="4"/>
      <c r="S4" s="4"/>
      <c r="T4" s="4"/>
      <c r="U4" s="4"/>
      <c r="V4" s="4"/>
      <c r="W4" s="4"/>
      <c r="X4" s="4"/>
      <c r="Y4" s="4"/>
      <c r="Z4" s="4"/>
      <c r="AA4" s="4"/>
      <c r="AB4" s="3"/>
      <c r="AC4" s="3"/>
      <c r="AD4" s="3"/>
      <c r="AZ4" s="3"/>
    </row>
    <row r="5" ht="15.0" customHeight="1">
      <c r="A5" s="9" t="s">
        <v>4</v>
      </c>
      <c r="E5" s="3"/>
      <c r="F5" s="3"/>
      <c r="G5" s="4"/>
      <c r="H5" s="4"/>
      <c r="I5" s="4"/>
      <c r="J5" s="4"/>
      <c r="K5" s="4"/>
      <c r="L5" s="4"/>
      <c r="M5" s="4"/>
      <c r="N5" s="5"/>
      <c r="O5" s="4"/>
      <c r="P5" s="4"/>
      <c r="Q5" s="4"/>
      <c r="R5" s="4"/>
      <c r="S5" s="4"/>
      <c r="T5" s="4"/>
      <c r="U5" s="4"/>
      <c r="V5" s="4"/>
      <c r="W5" s="4"/>
      <c r="X5" s="4"/>
      <c r="Y5" s="4"/>
      <c r="Z5" s="4"/>
      <c r="AA5" s="4"/>
      <c r="AB5" s="3"/>
      <c r="AC5" s="3"/>
      <c r="AD5" s="3"/>
      <c r="AZ5" s="3"/>
    </row>
    <row r="6" ht="27.75" customHeight="1">
      <c r="A6" s="1"/>
      <c r="B6" s="1"/>
      <c r="C6" s="1"/>
      <c r="D6" s="1"/>
      <c r="E6" s="3"/>
      <c r="F6" s="1"/>
      <c r="G6" s="4"/>
      <c r="H6" s="4"/>
      <c r="I6" s="4"/>
      <c r="J6" s="4"/>
      <c r="K6" s="4"/>
      <c r="L6" s="4"/>
      <c r="M6" s="4"/>
      <c r="N6" s="10" t="s">
        <v>5</v>
      </c>
      <c r="O6" s="11"/>
      <c r="P6" s="11"/>
      <c r="Q6" s="11"/>
      <c r="R6" s="11"/>
      <c r="S6" s="12"/>
      <c r="T6" s="4"/>
      <c r="U6" s="4"/>
      <c r="V6" s="4"/>
      <c r="W6" s="4"/>
      <c r="X6" s="4"/>
      <c r="Y6" s="4"/>
      <c r="Z6" s="4"/>
      <c r="AA6" s="4"/>
      <c r="AB6" s="3"/>
      <c r="AC6" s="3"/>
      <c r="AD6" s="3"/>
      <c r="AZ6" s="3"/>
    </row>
    <row r="7" ht="30.0" customHeight="1">
      <c r="A7" s="13" t="s">
        <v>6</v>
      </c>
      <c r="B7" s="13" t="s">
        <v>7</v>
      </c>
      <c r="C7" s="14" t="s">
        <v>8</v>
      </c>
      <c r="D7" s="15" t="s">
        <v>9</v>
      </c>
      <c r="E7" s="16" t="s">
        <v>10</v>
      </c>
      <c r="F7" s="17" t="s">
        <v>11</v>
      </c>
      <c r="G7" s="11"/>
      <c r="H7" s="11"/>
      <c r="I7" s="11"/>
      <c r="J7" s="11"/>
      <c r="K7" s="18"/>
      <c r="L7" s="19" t="s">
        <v>12</v>
      </c>
      <c r="M7" s="19" t="s">
        <v>13</v>
      </c>
      <c r="N7" s="20" t="s">
        <v>14</v>
      </c>
      <c r="O7" s="21" t="s">
        <v>15</v>
      </c>
      <c r="P7" s="21" t="s">
        <v>16</v>
      </c>
      <c r="Q7" s="22" t="s">
        <v>17</v>
      </c>
      <c r="R7" s="11"/>
      <c r="S7" s="12"/>
      <c r="T7" s="21" t="s">
        <v>14</v>
      </c>
      <c r="U7" s="23" t="s">
        <v>18</v>
      </c>
      <c r="V7" s="11"/>
      <c r="W7" s="11"/>
      <c r="X7" s="11"/>
      <c r="Y7" s="12"/>
      <c r="Z7" s="23" t="s">
        <v>19</v>
      </c>
      <c r="AA7" s="24"/>
      <c r="AB7" s="25" t="s">
        <v>20</v>
      </c>
      <c r="AC7" s="25" t="s">
        <v>21</v>
      </c>
      <c r="AD7" s="3"/>
      <c r="AZ7" s="3"/>
    </row>
    <row r="8" ht="49.5" customHeight="1">
      <c r="A8" s="26"/>
      <c r="B8" s="26"/>
      <c r="C8" s="26"/>
      <c r="D8" s="27"/>
      <c r="E8" s="28"/>
      <c r="F8" s="29" t="s">
        <v>22</v>
      </c>
      <c r="G8" s="18"/>
      <c r="H8" s="30" t="s">
        <v>23</v>
      </c>
      <c r="I8" s="18"/>
      <c r="J8" s="30" t="s">
        <v>24</v>
      </c>
      <c r="K8" s="12"/>
      <c r="L8" s="26"/>
      <c r="M8" s="26"/>
      <c r="N8" s="31"/>
      <c r="O8" s="32"/>
      <c r="P8" s="32"/>
      <c r="Q8" s="21" t="s">
        <v>22</v>
      </c>
      <c r="R8" s="21" t="s">
        <v>23</v>
      </c>
      <c r="S8" s="21" t="s">
        <v>24</v>
      </c>
      <c r="T8" s="32"/>
      <c r="U8" s="33" t="s">
        <v>25</v>
      </c>
      <c r="V8" s="33" t="s">
        <v>26</v>
      </c>
      <c r="W8" s="34" t="s">
        <v>27</v>
      </c>
      <c r="X8" s="33" t="s">
        <v>28</v>
      </c>
      <c r="Y8" s="33" t="s">
        <v>29</v>
      </c>
      <c r="Z8" s="33" t="s">
        <v>30</v>
      </c>
      <c r="AA8" s="33" t="s">
        <v>31</v>
      </c>
      <c r="AB8" s="32"/>
      <c r="AC8" s="32"/>
      <c r="AZ8" s="3"/>
    </row>
    <row r="9" ht="29.25" customHeight="1">
      <c r="A9" s="35"/>
      <c r="B9" s="35"/>
      <c r="C9" s="35"/>
      <c r="D9" s="36"/>
      <c r="E9" s="37"/>
      <c r="F9" s="38" t="s">
        <v>32</v>
      </c>
      <c r="G9" s="38" t="s">
        <v>33</v>
      </c>
      <c r="H9" s="38" t="s">
        <v>32</v>
      </c>
      <c r="I9" s="38" t="s">
        <v>33</v>
      </c>
      <c r="J9" s="38" t="s">
        <v>32</v>
      </c>
      <c r="K9" s="38" t="s">
        <v>33</v>
      </c>
      <c r="L9" s="35"/>
      <c r="M9" s="35"/>
      <c r="N9" s="39"/>
      <c r="O9" s="40"/>
      <c r="P9" s="40"/>
      <c r="Q9" s="41"/>
      <c r="R9" s="41"/>
      <c r="S9" s="41"/>
      <c r="T9" s="40"/>
      <c r="U9" s="41"/>
      <c r="V9" s="41"/>
      <c r="W9" s="41"/>
      <c r="X9" s="41"/>
      <c r="Y9" s="41"/>
      <c r="Z9" s="41"/>
      <c r="AA9" s="41"/>
      <c r="AB9" s="40"/>
      <c r="AC9" s="40"/>
      <c r="AZ9" s="3"/>
    </row>
    <row r="10" ht="25.5" customHeight="1">
      <c r="A10" s="42" t="s">
        <v>34</v>
      </c>
      <c r="B10" s="43"/>
      <c r="C10" s="43"/>
      <c r="D10" s="43"/>
      <c r="E10" s="43"/>
      <c r="F10" s="43"/>
      <c r="G10" s="43"/>
      <c r="H10" s="43"/>
      <c r="I10" s="43"/>
      <c r="J10" s="43"/>
      <c r="K10" s="43"/>
      <c r="L10" s="43"/>
      <c r="M10" s="44"/>
      <c r="N10" s="45"/>
      <c r="O10" s="46"/>
      <c r="P10" s="46"/>
      <c r="Q10" s="47"/>
      <c r="R10" s="47"/>
      <c r="S10" s="47"/>
      <c r="T10" s="47"/>
      <c r="U10" s="48"/>
      <c r="V10" s="48"/>
      <c r="W10" s="48"/>
      <c r="X10" s="48"/>
      <c r="Y10" s="48"/>
      <c r="Z10" s="48"/>
      <c r="AA10" s="48"/>
      <c r="AB10" s="48"/>
      <c r="AC10" s="48"/>
      <c r="AD10" s="48"/>
      <c r="AE10" s="48"/>
      <c r="AZ10" s="3"/>
    </row>
    <row r="11" ht="30.0" customHeight="1">
      <c r="A11" s="49">
        <v>1.0</v>
      </c>
      <c r="B11" s="50" t="s">
        <v>35</v>
      </c>
      <c r="C11" s="49" t="s">
        <v>36</v>
      </c>
      <c r="D11" s="49">
        <v>2.0</v>
      </c>
      <c r="E11" s="51">
        <v>2.0</v>
      </c>
      <c r="F11" s="51">
        <v>2.0</v>
      </c>
      <c r="G11" s="52"/>
      <c r="H11" s="52">
        <v>0.0</v>
      </c>
      <c r="I11" s="52"/>
      <c r="J11" s="52">
        <v>0.0</v>
      </c>
      <c r="K11" s="52"/>
      <c r="L11" s="53">
        <f t="shared" ref="L11:L37" si="1">G11+I11+K11</f>
        <v>0</v>
      </c>
      <c r="M11" s="54">
        <f t="shared" ref="M11:M36" si="2">E11-L11</f>
        <v>2</v>
      </c>
      <c r="N11" s="55"/>
      <c r="O11" s="56">
        <v>0.0</v>
      </c>
      <c r="P11" s="57">
        <f t="shared" ref="P11:P36" si="3">E11-O11</f>
        <v>2</v>
      </c>
      <c r="Q11" s="56">
        <v>0.0</v>
      </c>
      <c r="R11" s="58"/>
      <c r="S11" s="58"/>
      <c r="T11" s="59"/>
      <c r="U11" s="60" t="s">
        <v>37</v>
      </c>
      <c r="V11" s="61" t="s">
        <v>37</v>
      </c>
      <c r="W11" s="62" t="s">
        <v>37</v>
      </c>
      <c r="X11" s="62" t="s">
        <v>37</v>
      </c>
      <c r="Y11" s="62" t="s">
        <v>38</v>
      </c>
      <c r="Z11" s="62">
        <f t="shared" ref="Z11:Z36" si="4">IFERROR((VALUE(LEFT(U11,1))*0.3 + VALUE(LEFT(V11,1))*0.2 + VALUE(LEFT(W11,1))*0.15 + VALUE(LEFT(X11,1))*0.2 + VALUE(LEFT(Y11,1))*0.15),"")</f>
        <v>4.15</v>
      </c>
      <c r="AA11" s="63" t="str">
        <f t="shared" ref="AA11:AA36" si="5">IF(ISNUMBER(Z11),IF(Z11&gt;=4,"TINGGI",IF(Z11&gt;=3,"SEDERHANA","RENDAH")),"")</f>
        <v>TINGGI</v>
      </c>
      <c r="AB11" s="64"/>
      <c r="AC11" s="64">
        <v>1.0</v>
      </c>
      <c r="AD11" s="65">
        <f>IF(AA11="","",IF(AA11="TINGGI",3000000,IF(AA11="SEDERHANA",2000000,IF(AA11="RENDAH",1000000,500000)))+(41-11))</f>
        <v>3000030</v>
      </c>
      <c r="AZ11" s="3">
        <f t="shared" ref="AZ11:AZ36" si="6">IF(ISNUMBER(Z11),Z11*10000-ROW(),"")</f>
        <v>41489</v>
      </c>
    </row>
    <row r="12" ht="30.0" customHeight="1">
      <c r="A12" s="66">
        <v>2.0</v>
      </c>
      <c r="B12" s="67" t="s">
        <v>35</v>
      </c>
      <c r="C12" s="66" t="s">
        <v>39</v>
      </c>
      <c r="D12" s="66">
        <v>1.0</v>
      </c>
      <c r="E12" s="68">
        <v>1.0</v>
      </c>
      <c r="F12" s="68">
        <v>1.0</v>
      </c>
      <c r="G12" s="68"/>
      <c r="H12" s="68">
        <v>0.0</v>
      </c>
      <c r="I12" s="68"/>
      <c r="J12" s="68">
        <v>0.0</v>
      </c>
      <c r="K12" s="68"/>
      <c r="L12" s="53">
        <f t="shared" si="1"/>
        <v>0</v>
      </c>
      <c r="M12" s="69">
        <f t="shared" si="2"/>
        <v>1</v>
      </c>
      <c r="N12" s="70"/>
      <c r="O12" s="56">
        <v>0.0</v>
      </c>
      <c r="P12" s="45">
        <f t="shared" si="3"/>
        <v>1</v>
      </c>
      <c r="Q12" s="56">
        <v>0.0</v>
      </c>
      <c r="R12" s="58"/>
      <c r="S12" s="58"/>
      <c r="T12" s="59"/>
      <c r="U12" s="71" t="s">
        <v>40</v>
      </c>
      <c r="V12" s="62" t="s">
        <v>40</v>
      </c>
      <c r="W12" s="62" t="s">
        <v>37</v>
      </c>
      <c r="X12" s="62" t="s">
        <v>40</v>
      </c>
      <c r="Y12" s="62" t="s">
        <v>38</v>
      </c>
      <c r="Z12" s="62">
        <f t="shared" si="4"/>
        <v>3.45</v>
      </c>
      <c r="AA12" s="63" t="str">
        <f t="shared" si="5"/>
        <v>SEDERHANA</v>
      </c>
      <c r="AB12" s="64"/>
      <c r="AC12" s="64">
        <v>1.0</v>
      </c>
      <c r="AD12" s="65">
        <f>IF(AA12="","",IF(AA12="TINGGI",3000000,IF(AA12="SEDERHANA",2000000,IF(AA12="RENDAH",1000000,500000)))+(41-12))</f>
        <v>2000029</v>
      </c>
      <c r="AZ12" s="3">
        <f t="shared" si="6"/>
        <v>34488</v>
      </c>
    </row>
    <row r="13">
      <c r="A13" s="66">
        <v>3.0</v>
      </c>
      <c r="B13" s="67" t="s">
        <v>35</v>
      </c>
      <c r="C13" s="66" t="s">
        <v>41</v>
      </c>
      <c r="D13" s="72">
        <v>4997.0</v>
      </c>
      <c r="E13" s="72">
        <v>4997.0</v>
      </c>
      <c r="F13" s="73">
        <v>4997.0</v>
      </c>
      <c r="G13" s="68">
        <v>3236.0</v>
      </c>
      <c r="H13" s="68"/>
      <c r="I13" s="68"/>
      <c r="J13" s="68"/>
      <c r="K13" s="68"/>
      <c r="L13" s="53">
        <f t="shared" si="1"/>
        <v>3236</v>
      </c>
      <c r="M13" s="54">
        <f t="shared" si="2"/>
        <v>1761</v>
      </c>
      <c r="N13" s="74" t="s">
        <v>42</v>
      </c>
      <c r="O13" s="56">
        <v>3236.0</v>
      </c>
      <c r="P13" s="57">
        <f t="shared" si="3"/>
        <v>1761</v>
      </c>
      <c r="Q13" s="75">
        <v>1455.0</v>
      </c>
      <c r="R13" s="56"/>
      <c r="S13" s="56"/>
      <c r="T13" s="76"/>
      <c r="U13" s="77" t="s">
        <v>38</v>
      </c>
      <c r="V13" s="62" t="s">
        <v>38</v>
      </c>
      <c r="W13" s="62" t="s">
        <v>38</v>
      </c>
      <c r="X13" s="62" t="s">
        <v>38</v>
      </c>
      <c r="Y13" s="62" t="s">
        <v>38</v>
      </c>
      <c r="Z13" s="62">
        <f t="shared" si="4"/>
        <v>5</v>
      </c>
      <c r="AA13" s="63" t="str">
        <f t="shared" si="5"/>
        <v>TINGGI</v>
      </c>
      <c r="AB13" s="64" t="s">
        <v>43</v>
      </c>
      <c r="AC13" s="64">
        <v>2.0</v>
      </c>
      <c r="AD13" s="65">
        <f>IF(AA13="","",IF(AA13="TINGGI",3000000,IF(AA13="SEDERHANA",2000000,IF(AA13="RENDAH",1000000,500000)))+(41-13))</f>
        <v>3000028</v>
      </c>
      <c r="AZ13" s="3">
        <f t="shared" si="6"/>
        <v>49987</v>
      </c>
    </row>
    <row r="14" ht="90.75" customHeight="1">
      <c r="A14" s="66">
        <v>4.0</v>
      </c>
      <c r="B14" s="67" t="s">
        <v>44</v>
      </c>
      <c r="C14" s="66" t="s">
        <v>45</v>
      </c>
      <c r="D14" s="78">
        <v>500.0</v>
      </c>
      <c r="E14" s="78">
        <v>500.0</v>
      </c>
      <c r="F14" s="79">
        <v>500.0</v>
      </c>
      <c r="G14" s="68">
        <v>0.0</v>
      </c>
      <c r="H14" s="68"/>
      <c r="I14" s="68"/>
      <c r="J14" s="68"/>
      <c r="K14" s="68"/>
      <c r="L14" s="53">
        <f t="shared" si="1"/>
        <v>0</v>
      </c>
      <c r="M14" s="69">
        <f t="shared" si="2"/>
        <v>500</v>
      </c>
      <c r="N14" s="74" t="s">
        <v>46</v>
      </c>
      <c r="O14" s="56">
        <v>0.0</v>
      </c>
      <c r="P14" s="45">
        <f t="shared" si="3"/>
        <v>500</v>
      </c>
      <c r="Q14" s="56">
        <v>240.0</v>
      </c>
      <c r="R14" s="56"/>
      <c r="S14" s="56"/>
      <c r="T14" s="76" t="s">
        <v>47</v>
      </c>
      <c r="U14" s="77" t="s">
        <v>38</v>
      </c>
      <c r="V14" s="62" t="s">
        <v>38</v>
      </c>
      <c r="W14" s="62" t="s">
        <v>48</v>
      </c>
      <c r="X14" s="62" t="s">
        <v>38</v>
      </c>
      <c r="Y14" s="62" t="s">
        <v>38</v>
      </c>
      <c r="Z14" s="62">
        <f t="shared" si="4"/>
        <v>4.4</v>
      </c>
      <c r="AA14" s="63" t="str">
        <f t="shared" si="5"/>
        <v>TINGGI</v>
      </c>
      <c r="AB14" s="64" t="s">
        <v>49</v>
      </c>
      <c r="AC14" s="64">
        <v>1.0</v>
      </c>
      <c r="AD14" s="65">
        <f>IF(AA14="","",IF(AA14="TINGGI",3000000,IF(AA14="SEDERHANA",2000000,IF(AA14="RENDAH",1000000,500000)))+(41-14))</f>
        <v>3000027</v>
      </c>
      <c r="AZ14" s="3">
        <f t="shared" si="6"/>
        <v>43986</v>
      </c>
    </row>
    <row r="15" ht="63.75" customHeight="1">
      <c r="A15" s="66">
        <v>5.0</v>
      </c>
      <c r="B15" s="67" t="s">
        <v>50</v>
      </c>
      <c r="C15" s="66" t="s">
        <v>51</v>
      </c>
      <c r="D15" s="78">
        <v>0.0</v>
      </c>
      <c r="E15" s="78">
        <v>0.0</v>
      </c>
      <c r="F15" s="79">
        <v>0.0</v>
      </c>
      <c r="G15" s="68">
        <v>0.0</v>
      </c>
      <c r="H15" s="68"/>
      <c r="I15" s="68"/>
      <c r="J15" s="68"/>
      <c r="K15" s="68"/>
      <c r="L15" s="53">
        <f t="shared" si="1"/>
        <v>0</v>
      </c>
      <c r="M15" s="69">
        <f t="shared" si="2"/>
        <v>0</v>
      </c>
      <c r="N15" s="74" t="s">
        <v>52</v>
      </c>
      <c r="O15" s="56">
        <v>0.0</v>
      </c>
      <c r="P15" s="45">
        <f t="shared" si="3"/>
        <v>0</v>
      </c>
      <c r="Q15" s="56">
        <v>0.0</v>
      </c>
      <c r="R15" s="56"/>
      <c r="S15" s="56"/>
      <c r="T15" s="76"/>
      <c r="U15" s="77"/>
      <c r="V15" s="62"/>
      <c r="W15" s="62"/>
      <c r="X15" s="62"/>
      <c r="Y15" s="62"/>
      <c r="Z15" s="62">
        <f t="shared" si="4"/>
        <v>0</v>
      </c>
      <c r="AA15" s="63" t="str">
        <f t="shared" si="5"/>
        <v>RENDAH</v>
      </c>
      <c r="AB15" s="64"/>
      <c r="AC15" s="64"/>
      <c r="AD15" s="65">
        <f>IF(AA15="","",IF(AA15="TINGGI",3000000,IF(AA15="SEDERHANA",2000000,IF(AA15="RENDAH",1000000,500000)))+(41-15))</f>
        <v>1000026</v>
      </c>
      <c r="AZ15" s="3">
        <f t="shared" si="6"/>
        <v>-15</v>
      </c>
    </row>
    <row r="16" ht="63.75" customHeight="1">
      <c r="A16" s="66">
        <v>6.0</v>
      </c>
      <c r="B16" s="67" t="s">
        <v>53</v>
      </c>
      <c r="C16" s="66" t="s">
        <v>54</v>
      </c>
      <c r="D16" s="80">
        <v>76.0</v>
      </c>
      <c r="E16" s="68">
        <v>76.0</v>
      </c>
      <c r="F16" s="68">
        <v>76.0</v>
      </c>
      <c r="G16" s="68"/>
      <c r="H16" s="68"/>
      <c r="I16" s="68"/>
      <c r="J16" s="68"/>
      <c r="K16" s="68"/>
      <c r="L16" s="53">
        <f t="shared" si="1"/>
        <v>0</v>
      </c>
      <c r="M16" s="69">
        <f t="shared" si="2"/>
        <v>76</v>
      </c>
      <c r="N16" s="74" t="s">
        <v>55</v>
      </c>
      <c r="O16" s="56">
        <v>0.0</v>
      </c>
      <c r="P16" s="45">
        <f t="shared" si="3"/>
        <v>76</v>
      </c>
      <c r="Q16" s="56">
        <v>0.0</v>
      </c>
      <c r="R16" s="56"/>
      <c r="S16" s="56"/>
      <c r="T16" s="76"/>
      <c r="U16" s="81" t="s">
        <v>40</v>
      </c>
      <c r="V16" s="61" t="s">
        <v>56</v>
      </c>
      <c r="W16" s="62" t="s">
        <v>37</v>
      </c>
      <c r="X16" s="62" t="s">
        <v>40</v>
      </c>
      <c r="Y16" s="62" t="s">
        <v>40</v>
      </c>
      <c r="Z16" s="62">
        <f t="shared" si="4"/>
        <v>2.95</v>
      </c>
      <c r="AA16" s="63" t="str">
        <f t="shared" si="5"/>
        <v>RENDAH</v>
      </c>
      <c r="AB16" s="64"/>
      <c r="AC16" s="64">
        <v>2.0</v>
      </c>
      <c r="AD16" s="65">
        <f>IF(AA16="","",IF(AA16="TINGGI",3000000,IF(AA16="SEDERHANA",2000000,IF(AA16="RENDAH",1000000,500000)))+(41-16))</f>
        <v>1000025</v>
      </c>
      <c r="AZ16" s="3">
        <f t="shared" si="6"/>
        <v>29484</v>
      </c>
    </row>
    <row r="17" ht="25.5" customHeight="1">
      <c r="A17" s="66">
        <v>7.0</v>
      </c>
      <c r="B17" s="82" t="s">
        <v>57</v>
      </c>
      <c r="C17" s="66" t="s">
        <v>54</v>
      </c>
      <c r="D17" s="66">
        <v>30.0</v>
      </c>
      <c r="E17" s="66">
        <v>30.0</v>
      </c>
      <c r="F17" s="68">
        <v>30.0</v>
      </c>
      <c r="G17" s="68"/>
      <c r="H17" s="68">
        <v>0.0</v>
      </c>
      <c r="I17" s="68"/>
      <c r="J17" s="68">
        <v>0.0</v>
      </c>
      <c r="K17" s="68"/>
      <c r="L17" s="53">
        <f t="shared" si="1"/>
        <v>0</v>
      </c>
      <c r="M17" s="69">
        <f t="shared" si="2"/>
        <v>30</v>
      </c>
      <c r="N17" s="74" t="s">
        <v>58</v>
      </c>
      <c r="O17" s="56">
        <v>13.0</v>
      </c>
      <c r="P17" s="45">
        <f t="shared" si="3"/>
        <v>17</v>
      </c>
      <c r="Q17" s="56">
        <v>6.0</v>
      </c>
      <c r="R17" s="56"/>
      <c r="S17" s="56"/>
      <c r="T17" s="76" t="s">
        <v>59</v>
      </c>
      <c r="U17" s="77" t="s">
        <v>40</v>
      </c>
      <c r="V17" s="62" t="s">
        <v>48</v>
      </c>
      <c r="W17" s="62" t="s">
        <v>40</v>
      </c>
      <c r="X17" s="62" t="s">
        <v>56</v>
      </c>
      <c r="Y17" s="62" t="s">
        <v>38</v>
      </c>
      <c r="Z17" s="62">
        <f t="shared" si="4"/>
        <v>2.7</v>
      </c>
      <c r="AA17" s="63" t="str">
        <f t="shared" si="5"/>
        <v>RENDAH</v>
      </c>
      <c r="AB17" s="83"/>
      <c r="AC17" s="64">
        <v>1.0</v>
      </c>
      <c r="AD17" s="65">
        <f>IF(AA17="","",IF(AA17="TINGGI",3000000,IF(AA17="SEDERHANA",2000000,IF(AA17="RENDAH",1000000,500000)))+(41-17))</f>
        <v>1000024</v>
      </c>
      <c r="AZ17" s="3">
        <f t="shared" si="6"/>
        <v>26983</v>
      </c>
    </row>
    <row r="18" ht="25.5" customHeight="1">
      <c r="A18" s="66">
        <v>8.0</v>
      </c>
      <c r="B18" s="82" t="s">
        <v>60</v>
      </c>
      <c r="C18" s="66" t="s">
        <v>54</v>
      </c>
      <c r="D18" s="66">
        <v>99.0</v>
      </c>
      <c r="E18" s="66">
        <v>99.0</v>
      </c>
      <c r="F18" s="68">
        <v>99.0</v>
      </c>
      <c r="G18" s="68"/>
      <c r="H18" s="68">
        <v>0.0</v>
      </c>
      <c r="I18" s="68"/>
      <c r="J18" s="68">
        <v>0.0</v>
      </c>
      <c r="K18" s="68"/>
      <c r="L18" s="53">
        <f t="shared" si="1"/>
        <v>0</v>
      </c>
      <c r="M18" s="69">
        <f t="shared" si="2"/>
        <v>99</v>
      </c>
      <c r="N18" s="74" t="s">
        <v>58</v>
      </c>
      <c r="O18" s="56">
        <v>65.0</v>
      </c>
      <c r="P18" s="45">
        <f t="shared" si="3"/>
        <v>34</v>
      </c>
      <c r="Q18" s="56">
        <v>0.0</v>
      </c>
      <c r="R18" s="56"/>
      <c r="S18" s="56"/>
      <c r="T18" s="76"/>
      <c r="U18" s="77" t="s">
        <v>40</v>
      </c>
      <c r="V18" s="62" t="s">
        <v>40</v>
      </c>
      <c r="W18" s="62" t="s">
        <v>37</v>
      </c>
      <c r="X18" s="62" t="s">
        <v>56</v>
      </c>
      <c r="Y18" s="62" t="s">
        <v>38</v>
      </c>
      <c r="Z18" s="62">
        <f t="shared" si="4"/>
        <v>3.25</v>
      </c>
      <c r="AA18" s="63" t="str">
        <f t="shared" si="5"/>
        <v>SEDERHANA</v>
      </c>
      <c r="AB18" s="83"/>
      <c r="AC18" s="64">
        <v>1.0</v>
      </c>
      <c r="AD18" s="65">
        <f>IF(AA18="","",IF(AA18="TINGGI",3000000,IF(AA18="SEDERHANA",2000000,IF(AA18="RENDAH",1000000,500000)))+(41-18))</f>
        <v>2000023</v>
      </c>
      <c r="AZ18" s="3">
        <f t="shared" si="6"/>
        <v>32482</v>
      </c>
    </row>
    <row r="19" ht="23.25" customHeight="1">
      <c r="A19" s="66">
        <v>9.0</v>
      </c>
      <c r="B19" s="82" t="s">
        <v>61</v>
      </c>
      <c r="C19" s="66" t="s">
        <v>54</v>
      </c>
      <c r="D19" s="66">
        <v>76.0</v>
      </c>
      <c r="E19" s="66">
        <v>76.0</v>
      </c>
      <c r="F19" s="68">
        <v>76.0</v>
      </c>
      <c r="G19" s="68"/>
      <c r="H19" s="68">
        <v>0.0</v>
      </c>
      <c r="I19" s="68"/>
      <c r="J19" s="68">
        <v>0.0</v>
      </c>
      <c r="K19" s="68"/>
      <c r="L19" s="53">
        <f t="shared" si="1"/>
        <v>0</v>
      </c>
      <c r="M19" s="69">
        <f t="shared" si="2"/>
        <v>76</v>
      </c>
      <c r="N19" s="74" t="s">
        <v>58</v>
      </c>
      <c r="O19" s="56">
        <v>53.0</v>
      </c>
      <c r="P19" s="45">
        <f t="shared" si="3"/>
        <v>23</v>
      </c>
      <c r="Q19" s="56">
        <v>0.0</v>
      </c>
      <c r="R19" s="56"/>
      <c r="S19" s="56"/>
      <c r="T19" s="76"/>
      <c r="U19" s="77" t="s">
        <v>40</v>
      </c>
      <c r="V19" s="62" t="s">
        <v>56</v>
      </c>
      <c r="W19" s="62" t="s">
        <v>37</v>
      </c>
      <c r="X19" s="62" t="s">
        <v>56</v>
      </c>
      <c r="Y19" s="62" t="s">
        <v>38</v>
      </c>
      <c r="Z19" s="62">
        <f t="shared" si="4"/>
        <v>3.05</v>
      </c>
      <c r="AA19" s="63" t="str">
        <f t="shared" si="5"/>
        <v>SEDERHANA</v>
      </c>
      <c r="AB19" s="83"/>
      <c r="AC19" s="64">
        <v>1.0</v>
      </c>
      <c r="AD19" s="65">
        <f>IF(AA19="","",IF(AA19="TINGGI",3000000,IF(AA19="SEDERHANA",2000000,IF(AA19="RENDAH",1000000,500000)))+(41-19))</f>
        <v>2000022</v>
      </c>
      <c r="AZ19" s="3">
        <f t="shared" si="6"/>
        <v>30481</v>
      </c>
    </row>
    <row r="20" ht="39.0" customHeight="1">
      <c r="A20" s="66">
        <v>10.0</v>
      </c>
      <c r="B20" s="82" t="s">
        <v>62</v>
      </c>
      <c r="C20" s="66" t="s">
        <v>54</v>
      </c>
      <c r="D20" s="66">
        <v>56.0</v>
      </c>
      <c r="E20" s="66">
        <v>56.0</v>
      </c>
      <c r="F20" s="68">
        <v>56.0</v>
      </c>
      <c r="G20" s="68"/>
      <c r="H20" s="68">
        <v>0.0</v>
      </c>
      <c r="I20" s="68"/>
      <c r="J20" s="68">
        <v>0.0</v>
      </c>
      <c r="K20" s="68"/>
      <c r="L20" s="53">
        <f t="shared" si="1"/>
        <v>0</v>
      </c>
      <c r="M20" s="69">
        <f t="shared" si="2"/>
        <v>56</v>
      </c>
      <c r="N20" s="74" t="s">
        <v>58</v>
      </c>
      <c r="O20" s="56">
        <v>41.0</v>
      </c>
      <c r="P20" s="45">
        <f t="shared" si="3"/>
        <v>15</v>
      </c>
      <c r="Q20" s="56">
        <v>11.0</v>
      </c>
      <c r="R20" s="56"/>
      <c r="S20" s="56"/>
      <c r="T20" s="76" t="s">
        <v>63</v>
      </c>
      <c r="U20" s="77" t="s">
        <v>40</v>
      </c>
      <c r="V20" s="62" t="s">
        <v>56</v>
      </c>
      <c r="W20" s="62" t="s">
        <v>37</v>
      </c>
      <c r="X20" s="62" t="s">
        <v>56</v>
      </c>
      <c r="Y20" s="62" t="s">
        <v>38</v>
      </c>
      <c r="Z20" s="62">
        <f t="shared" si="4"/>
        <v>3.05</v>
      </c>
      <c r="AA20" s="63" t="str">
        <f t="shared" si="5"/>
        <v>SEDERHANA</v>
      </c>
      <c r="AB20" s="83"/>
      <c r="AC20" s="64">
        <v>1.0</v>
      </c>
      <c r="AD20" s="65">
        <f>IF(AA20="","",IF(AA20="TINGGI",3000000,IF(AA20="SEDERHANA",2000000,IF(AA20="RENDAH",1000000,500000)))+(41-20))</f>
        <v>2000021</v>
      </c>
      <c r="AZ20" s="3">
        <f t="shared" si="6"/>
        <v>30480</v>
      </c>
    </row>
    <row r="21" ht="25.5" customHeight="1">
      <c r="A21" s="66">
        <v>11.0</v>
      </c>
      <c r="B21" s="84" t="s">
        <v>64</v>
      </c>
      <c r="C21" s="66" t="s">
        <v>54</v>
      </c>
      <c r="D21" s="66">
        <v>34.0</v>
      </c>
      <c r="E21" s="66">
        <v>34.0</v>
      </c>
      <c r="F21" s="68">
        <v>34.0</v>
      </c>
      <c r="G21" s="68"/>
      <c r="H21" s="68">
        <v>0.0</v>
      </c>
      <c r="I21" s="68"/>
      <c r="J21" s="68">
        <v>0.0</v>
      </c>
      <c r="K21" s="68"/>
      <c r="L21" s="53">
        <f t="shared" si="1"/>
        <v>0</v>
      </c>
      <c r="M21" s="69">
        <f t="shared" si="2"/>
        <v>34</v>
      </c>
      <c r="N21" s="85" t="s">
        <v>65</v>
      </c>
      <c r="O21" s="56">
        <v>0.0</v>
      </c>
      <c r="P21" s="45">
        <f t="shared" si="3"/>
        <v>34</v>
      </c>
      <c r="Q21" s="56">
        <v>30.0</v>
      </c>
      <c r="R21" s="56"/>
      <c r="S21" s="56"/>
      <c r="T21" s="76"/>
      <c r="U21" s="77" t="s">
        <v>40</v>
      </c>
      <c r="V21" s="62" t="s">
        <v>48</v>
      </c>
      <c r="W21" s="62" t="s">
        <v>40</v>
      </c>
      <c r="X21" s="62" t="s">
        <v>56</v>
      </c>
      <c r="Y21" s="62" t="s">
        <v>37</v>
      </c>
      <c r="Z21" s="62">
        <f t="shared" si="4"/>
        <v>2.55</v>
      </c>
      <c r="AA21" s="63" t="str">
        <f t="shared" si="5"/>
        <v>RENDAH</v>
      </c>
      <c r="AB21" s="83"/>
      <c r="AC21" s="64">
        <v>1.0</v>
      </c>
      <c r="AD21" s="65">
        <f>IF(AA21="","",IF(AA21="TINGGI",3000000,IF(AA21="SEDERHANA",2000000,IF(AA21="RENDAH",1000000,500000)))+(41-21))</f>
        <v>1000020</v>
      </c>
      <c r="AZ21" s="3">
        <f t="shared" si="6"/>
        <v>25479</v>
      </c>
    </row>
    <row r="22" ht="25.5" customHeight="1">
      <c r="A22" s="66">
        <v>12.0</v>
      </c>
      <c r="B22" s="86" t="s">
        <v>66</v>
      </c>
      <c r="C22" s="66" t="s">
        <v>54</v>
      </c>
      <c r="D22" s="66">
        <v>171.0</v>
      </c>
      <c r="E22" s="87">
        <v>13.0</v>
      </c>
      <c r="F22" s="88">
        <v>13.0</v>
      </c>
      <c r="G22" s="68"/>
      <c r="H22" s="68">
        <v>0.0</v>
      </c>
      <c r="I22" s="68"/>
      <c r="J22" s="68">
        <v>0.0</v>
      </c>
      <c r="K22" s="68"/>
      <c r="L22" s="53">
        <f t="shared" si="1"/>
        <v>0</v>
      </c>
      <c r="M22" s="69">
        <f t="shared" si="2"/>
        <v>13</v>
      </c>
      <c r="N22" s="74" t="s">
        <v>65</v>
      </c>
      <c r="O22" s="56">
        <v>0.0</v>
      </c>
      <c r="P22" s="45">
        <f t="shared" si="3"/>
        <v>13</v>
      </c>
      <c r="Q22" s="56"/>
      <c r="R22" s="56"/>
      <c r="S22" s="56"/>
      <c r="T22" s="76"/>
      <c r="U22" s="77" t="s">
        <v>40</v>
      </c>
      <c r="V22" s="62" t="s">
        <v>56</v>
      </c>
      <c r="W22" s="62" t="s">
        <v>38</v>
      </c>
      <c r="X22" s="62" t="s">
        <v>56</v>
      </c>
      <c r="Y22" s="62" t="s">
        <v>38</v>
      </c>
      <c r="Z22" s="62">
        <f t="shared" si="4"/>
        <v>3.2</v>
      </c>
      <c r="AA22" s="63" t="str">
        <f t="shared" si="5"/>
        <v>SEDERHANA</v>
      </c>
      <c r="AB22" s="83"/>
      <c r="AC22" s="89">
        <v>1.0</v>
      </c>
      <c r="AD22" s="65">
        <f>IF(AA22="","",IF(AA22="TINGGI",3000000,IF(AA22="SEDERHANA",2000000,IF(AA22="RENDAH",1000000,500000)))+(41-22))</f>
        <v>2000019</v>
      </c>
      <c r="AZ22" s="3">
        <f t="shared" si="6"/>
        <v>31978</v>
      </c>
    </row>
    <row r="23" ht="25.5" customHeight="1">
      <c r="A23" s="66">
        <v>13.0</v>
      </c>
      <c r="B23" s="86" t="s">
        <v>67</v>
      </c>
      <c r="C23" s="66" t="s">
        <v>54</v>
      </c>
      <c r="D23" s="66">
        <v>39.0</v>
      </c>
      <c r="E23" s="87">
        <v>10.0</v>
      </c>
      <c r="F23" s="88">
        <v>10.0</v>
      </c>
      <c r="G23" s="68"/>
      <c r="H23" s="68">
        <v>0.0</v>
      </c>
      <c r="I23" s="68"/>
      <c r="J23" s="68">
        <v>0.0</v>
      </c>
      <c r="K23" s="68"/>
      <c r="L23" s="53">
        <f t="shared" si="1"/>
        <v>0</v>
      </c>
      <c r="M23" s="69">
        <f t="shared" si="2"/>
        <v>10</v>
      </c>
      <c r="N23" s="74" t="s">
        <v>65</v>
      </c>
      <c r="O23" s="56">
        <v>0.0</v>
      </c>
      <c r="P23" s="45">
        <f t="shared" si="3"/>
        <v>10</v>
      </c>
      <c r="Q23" s="56">
        <v>0.0</v>
      </c>
      <c r="R23" s="56"/>
      <c r="S23" s="56"/>
      <c r="T23" s="76"/>
      <c r="U23" s="77" t="s">
        <v>40</v>
      </c>
      <c r="V23" s="62" t="s">
        <v>40</v>
      </c>
      <c r="W23" s="62" t="s">
        <v>40</v>
      </c>
      <c r="X23" s="62" t="s">
        <v>56</v>
      </c>
      <c r="Y23" s="62" t="s">
        <v>38</v>
      </c>
      <c r="Z23" s="62">
        <f t="shared" si="4"/>
        <v>3.1</v>
      </c>
      <c r="AA23" s="63" t="str">
        <f t="shared" si="5"/>
        <v>SEDERHANA</v>
      </c>
      <c r="AB23" s="83"/>
      <c r="AC23" s="64">
        <v>1.0</v>
      </c>
      <c r="AD23" s="65">
        <f>IF(AA23="","",IF(AA23="TINGGI",3000000,IF(AA23="SEDERHANA",2000000,IF(AA23="RENDAH",1000000,500000)))+(41-23))</f>
        <v>2000018</v>
      </c>
      <c r="AZ23" s="3">
        <f t="shared" si="6"/>
        <v>30977</v>
      </c>
    </row>
    <row r="24" ht="15.75" customHeight="1">
      <c r="A24" s="66">
        <v>14.0</v>
      </c>
      <c r="B24" s="86" t="s">
        <v>68</v>
      </c>
      <c r="C24" s="66" t="s">
        <v>54</v>
      </c>
      <c r="D24" s="66">
        <v>8.0</v>
      </c>
      <c r="E24" s="66">
        <v>8.0</v>
      </c>
      <c r="F24" s="68">
        <v>8.0</v>
      </c>
      <c r="G24" s="68"/>
      <c r="H24" s="68">
        <v>0.0</v>
      </c>
      <c r="I24" s="68"/>
      <c r="J24" s="68">
        <v>0.0</v>
      </c>
      <c r="K24" s="68"/>
      <c r="L24" s="53">
        <f t="shared" si="1"/>
        <v>0</v>
      </c>
      <c r="M24" s="69">
        <f t="shared" si="2"/>
        <v>8</v>
      </c>
      <c r="N24" s="74" t="s">
        <v>65</v>
      </c>
      <c r="O24" s="56">
        <v>0.0</v>
      </c>
      <c r="P24" s="45">
        <f t="shared" si="3"/>
        <v>8</v>
      </c>
      <c r="Q24" s="56">
        <v>19.0</v>
      </c>
      <c r="R24" s="56"/>
      <c r="S24" s="56"/>
      <c r="T24" s="76" t="s">
        <v>69</v>
      </c>
      <c r="U24" s="77" t="s">
        <v>56</v>
      </c>
      <c r="V24" s="62" t="s">
        <v>48</v>
      </c>
      <c r="W24" s="62" t="s">
        <v>56</v>
      </c>
      <c r="X24" s="62" t="s">
        <v>56</v>
      </c>
      <c r="Y24" s="62" t="s">
        <v>37</v>
      </c>
      <c r="Z24" s="62">
        <f t="shared" si="4"/>
        <v>2.1</v>
      </c>
      <c r="AA24" s="63" t="str">
        <f t="shared" si="5"/>
        <v>RENDAH</v>
      </c>
      <c r="AB24" s="83"/>
      <c r="AC24" s="64">
        <v>1.0</v>
      </c>
      <c r="AD24" s="65">
        <f>IF(AA24="","",IF(AA24="TINGGI",3000000,IF(AA24="SEDERHANA",2000000,IF(AA24="RENDAH",1000000,500000)))+(41-24))</f>
        <v>1000017</v>
      </c>
      <c r="AZ24" s="3">
        <f t="shared" si="6"/>
        <v>20976</v>
      </c>
    </row>
    <row r="25" ht="15.75" customHeight="1">
      <c r="A25" s="66">
        <v>15.0</v>
      </c>
      <c r="B25" s="86" t="s">
        <v>70</v>
      </c>
      <c r="C25" s="66" t="s">
        <v>54</v>
      </c>
      <c r="D25" s="66">
        <v>1.0</v>
      </c>
      <c r="E25" s="66">
        <v>0.0</v>
      </c>
      <c r="F25" s="68">
        <v>0.0</v>
      </c>
      <c r="G25" s="68"/>
      <c r="H25" s="68">
        <v>0.0</v>
      </c>
      <c r="I25" s="68"/>
      <c r="J25" s="68">
        <v>0.0</v>
      </c>
      <c r="K25" s="68"/>
      <c r="L25" s="53">
        <f t="shared" si="1"/>
        <v>0</v>
      </c>
      <c r="M25" s="69">
        <f t="shared" si="2"/>
        <v>0</v>
      </c>
      <c r="N25" s="74" t="s">
        <v>65</v>
      </c>
      <c r="O25" s="56">
        <v>0.0</v>
      </c>
      <c r="P25" s="45">
        <f t="shared" si="3"/>
        <v>0</v>
      </c>
      <c r="Q25" s="56">
        <v>1.0</v>
      </c>
      <c r="R25" s="56"/>
      <c r="S25" s="56"/>
      <c r="T25" s="76"/>
      <c r="U25" s="77"/>
      <c r="V25" s="62"/>
      <c r="W25" s="62"/>
      <c r="X25" s="62"/>
      <c r="Y25" s="62"/>
      <c r="Z25" s="62">
        <f t="shared" si="4"/>
        <v>0</v>
      </c>
      <c r="AA25" s="63" t="str">
        <f t="shared" si="5"/>
        <v>RENDAH</v>
      </c>
      <c r="AB25" s="83"/>
      <c r="AC25" s="64"/>
      <c r="AD25" s="65">
        <f>IF(AA25="","",IF(AA25="TINGGI",3000000,IF(AA25="SEDERHANA",2000000,IF(AA25="RENDAH",1000000,500000)))+(41-25))</f>
        <v>1000016</v>
      </c>
      <c r="AZ25" s="3">
        <f t="shared" si="6"/>
        <v>-25</v>
      </c>
    </row>
    <row r="26" ht="15.75" customHeight="1">
      <c r="A26" s="66">
        <v>16.0</v>
      </c>
      <c r="B26" s="86" t="s">
        <v>71</v>
      </c>
      <c r="C26" s="66" t="s">
        <v>54</v>
      </c>
      <c r="D26" s="66">
        <v>4.0</v>
      </c>
      <c r="E26" s="66">
        <v>4.0</v>
      </c>
      <c r="F26" s="68">
        <v>4.0</v>
      </c>
      <c r="G26" s="68"/>
      <c r="H26" s="68">
        <v>0.0</v>
      </c>
      <c r="I26" s="68"/>
      <c r="J26" s="68">
        <v>0.0</v>
      </c>
      <c r="K26" s="68"/>
      <c r="L26" s="53">
        <f t="shared" si="1"/>
        <v>0</v>
      </c>
      <c r="M26" s="69">
        <f t="shared" si="2"/>
        <v>4</v>
      </c>
      <c r="N26" s="74" t="s">
        <v>65</v>
      </c>
      <c r="O26" s="56">
        <v>0.0</v>
      </c>
      <c r="P26" s="45">
        <f t="shared" si="3"/>
        <v>4</v>
      </c>
      <c r="Q26" s="56">
        <v>0.0</v>
      </c>
      <c r="R26" s="56"/>
      <c r="S26" s="56"/>
      <c r="T26" s="76"/>
      <c r="U26" s="77" t="s">
        <v>56</v>
      </c>
      <c r="V26" s="62" t="s">
        <v>56</v>
      </c>
      <c r="W26" s="62" t="s">
        <v>48</v>
      </c>
      <c r="X26" s="62" t="s">
        <v>56</v>
      </c>
      <c r="Y26" s="62" t="s">
        <v>37</v>
      </c>
      <c r="Z26" s="62">
        <f t="shared" si="4"/>
        <v>2.15</v>
      </c>
      <c r="AA26" s="63" t="str">
        <f t="shared" si="5"/>
        <v>RENDAH</v>
      </c>
      <c r="AB26" s="83"/>
      <c r="AC26" s="64">
        <v>1.0</v>
      </c>
      <c r="AD26" s="65">
        <f>IF(AA26="","",IF(AA26="TINGGI",3000000,IF(AA26="SEDERHANA",2000000,IF(AA26="RENDAH",1000000,500000)))+(41-26))</f>
        <v>1000015</v>
      </c>
      <c r="AZ26" s="3">
        <f t="shared" si="6"/>
        <v>21474</v>
      </c>
    </row>
    <row r="27" ht="15.75" customHeight="1">
      <c r="A27" s="66">
        <v>17.0</v>
      </c>
      <c r="B27" s="90" t="s">
        <v>72</v>
      </c>
      <c r="C27" s="66" t="s">
        <v>54</v>
      </c>
      <c r="D27" s="66">
        <v>9.0</v>
      </c>
      <c r="E27" s="87">
        <v>2.0</v>
      </c>
      <c r="F27" s="88">
        <v>2.0</v>
      </c>
      <c r="G27" s="68"/>
      <c r="H27" s="68">
        <v>0.0</v>
      </c>
      <c r="I27" s="68"/>
      <c r="J27" s="68">
        <v>0.0</v>
      </c>
      <c r="K27" s="68"/>
      <c r="L27" s="53">
        <f t="shared" si="1"/>
        <v>0</v>
      </c>
      <c r="M27" s="69">
        <f t="shared" si="2"/>
        <v>2</v>
      </c>
      <c r="N27" s="74" t="s">
        <v>65</v>
      </c>
      <c r="O27" s="56">
        <v>0.0</v>
      </c>
      <c r="P27" s="45">
        <f t="shared" si="3"/>
        <v>2</v>
      </c>
      <c r="Q27" s="56">
        <v>0.0</v>
      </c>
      <c r="R27" s="56"/>
      <c r="S27" s="56"/>
      <c r="T27" s="76"/>
      <c r="U27" s="77" t="s">
        <v>56</v>
      </c>
      <c r="V27" s="62" t="s">
        <v>56</v>
      </c>
      <c r="W27" s="62" t="s">
        <v>48</v>
      </c>
      <c r="X27" s="62" t="s">
        <v>56</v>
      </c>
      <c r="Y27" s="62" t="s">
        <v>40</v>
      </c>
      <c r="Z27" s="62">
        <f t="shared" si="4"/>
        <v>2</v>
      </c>
      <c r="AA27" s="63" t="str">
        <f t="shared" si="5"/>
        <v>RENDAH</v>
      </c>
      <c r="AB27" s="83"/>
      <c r="AC27" s="64">
        <v>1.0</v>
      </c>
      <c r="AD27" s="65">
        <f>IF(AA27="","",IF(AA27="TINGGI",3000000,IF(AA27="SEDERHANA",2000000,IF(AA27="RENDAH",1000000,500000)))+(41-27))</f>
        <v>1000014</v>
      </c>
      <c r="AZ27" s="3">
        <f t="shared" si="6"/>
        <v>19973</v>
      </c>
    </row>
    <row r="28" ht="25.5" customHeight="1">
      <c r="A28" s="66">
        <v>18.0</v>
      </c>
      <c r="B28" s="90" t="s">
        <v>73</v>
      </c>
      <c r="C28" s="66" t="s">
        <v>54</v>
      </c>
      <c r="D28" s="66">
        <v>2.0</v>
      </c>
      <c r="E28" s="66">
        <v>2.0</v>
      </c>
      <c r="F28" s="68">
        <v>2.0</v>
      </c>
      <c r="G28" s="68"/>
      <c r="H28" s="68">
        <v>0.0</v>
      </c>
      <c r="I28" s="68"/>
      <c r="J28" s="68">
        <v>0.0</v>
      </c>
      <c r="K28" s="68"/>
      <c r="L28" s="53">
        <f t="shared" si="1"/>
        <v>0</v>
      </c>
      <c r="M28" s="69">
        <f t="shared" si="2"/>
        <v>2</v>
      </c>
      <c r="N28" s="74" t="s">
        <v>65</v>
      </c>
      <c r="O28" s="56">
        <v>0.0</v>
      </c>
      <c r="P28" s="45">
        <f t="shared" si="3"/>
        <v>2</v>
      </c>
      <c r="Q28" s="56">
        <v>7.0</v>
      </c>
      <c r="R28" s="56"/>
      <c r="S28" s="56"/>
      <c r="T28" s="76"/>
      <c r="U28" s="77" t="s">
        <v>56</v>
      </c>
      <c r="V28" s="62" t="s">
        <v>56</v>
      </c>
      <c r="W28" s="62" t="s">
        <v>48</v>
      </c>
      <c r="X28" s="62" t="s">
        <v>56</v>
      </c>
      <c r="Y28" s="62" t="s">
        <v>40</v>
      </c>
      <c r="Z28" s="62">
        <f t="shared" si="4"/>
        <v>2</v>
      </c>
      <c r="AA28" s="63" t="str">
        <f t="shared" si="5"/>
        <v>RENDAH</v>
      </c>
      <c r="AB28" s="83"/>
      <c r="AC28" s="64">
        <v>1.0</v>
      </c>
      <c r="AD28" s="65">
        <f>IF(AA28="","",IF(AA28="TINGGI",3000000,IF(AA28="SEDERHANA",2000000,IF(AA28="RENDAH",1000000,500000)))+(41-28))</f>
        <v>1000013</v>
      </c>
      <c r="AZ28" s="3">
        <f t="shared" si="6"/>
        <v>19972</v>
      </c>
    </row>
    <row r="29" ht="50.25" customHeight="1">
      <c r="A29" s="66">
        <v>19.0</v>
      </c>
      <c r="B29" s="90" t="s">
        <v>74</v>
      </c>
      <c r="C29" s="66" t="s">
        <v>54</v>
      </c>
      <c r="D29" s="66">
        <v>1.0</v>
      </c>
      <c r="E29" s="66">
        <v>0.0</v>
      </c>
      <c r="F29" s="68">
        <v>0.0</v>
      </c>
      <c r="G29" s="68"/>
      <c r="H29" s="68">
        <v>0.0</v>
      </c>
      <c r="I29" s="68"/>
      <c r="J29" s="68">
        <v>0.0</v>
      </c>
      <c r="K29" s="68"/>
      <c r="L29" s="53">
        <f t="shared" si="1"/>
        <v>0</v>
      </c>
      <c r="M29" s="69">
        <f t="shared" si="2"/>
        <v>0</v>
      </c>
      <c r="N29" s="74" t="s">
        <v>65</v>
      </c>
      <c r="O29" s="56">
        <v>0.0</v>
      </c>
      <c r="P29" s="45">
        <f t="shared" si="3"/>
        <v>0</v>
      </c>
      <c r="Q29" s="56">
        <v>20.0</v>
      </c>
      <c r="R29" s="56"/>
      <c r="S29" s="56"/>
      <c r="T29" s="76" t="s">
        <v>75</v>
      </c>
      <c r="U29" s="77"/>
      <c r="V29" s="62"/>
      <c r="W29" s="62"/>
      <c r="X29" s="62"/>
      <c r="Y29" s="62"/>
      <c r="Z29" s="62">
        <f t="shared" si="4"/>
        <v>0</v>
      </c>
      <c r="AA29" s="63" t="str">
        <f t="shared" si="5"/>
        <v>RENDAH</v>
      </c>
      <c r="AB29" s="83"/>
      <c r="AC29" s="64"/>
      <c r="AD29" s="65">
        <f>IF(AA29="","",IF(AA29="TINGGI",3000000,IF(AA29="SEDERHANA",2000000,IF(AA29="RENDAH",1000000,500000)))+(41-29))</f>
        <v>1000012</v>
      </c>
      <c r="AZ29" s="3">
        <f t="shared" si="6"/>
        <v>-29</v>
      </c>
    </row>
    <row r="30" ht="43.5" customHeight="1">
      <c r="A30" s="66">
        <v>20.0</v>
      </c>
      <c r="B30" s="90" t="s">
        <v>76</v>
      </c>
      <c r="C30" s="66" t="s">
        <v>54</v>
      </c>
      <c r="D30" s="66">
        <v>5.0</v>
      </c>
      <c r="E30" s="87">
        <v>3.0</v>
      </c>
      <c r="F30" s="88">
        <v>3.0</v>
      </c>
      <c r="G30" s="68"/>
      <c r="H30" s="68">
        <v>0.0</v>
      </c>
      <c r="I30" s="68"/>
      <c r="J30" s="68">
        <v>0.0</v>
      </c>
      <c r="K30" s="68"/>
      <c r="L30" s="53">
        <f t="shared" si="1"/>
        <v>0</v>
      </c>
      <c r="M30" s="69">
        <f t="shared" si="2"/>
        <v>3</v>
      </c>
      <c r="N30" s="74" t="s">
        <v>65</v>
      </c>
      <c r="O30" s="56">
        <v>0.0</v>
      </c>
      <c r="P30" s="45">
        <f t="shared" si="3"/>
        <v>3</v>
      </c>
      <c r="Q30" s="56">
        <v>10.0</v>
      </c>
      <c r="R30" s="56"/>
      <c r="S30" s="56"/>
      <c r="T30" s="76"/>
      <c r="U30" s="77" t="s">
        <v>56</v>
      </c>
      <c r="V30" s="62" t="s">
        <v>48</v>
      </c>
      <c r="W30" s="62" t="s">
        <v>56</v>
      </c>
      <c r="X30" s="62" t="s">
        <v>56</v>
      </c>
      <c r="Y30" s="62" t="s">
        <v>37</v>
      </c>
      <c r="Z30" s="62">
        <f t="shared" si="4"/>
        <v>2.1</v>
      </c>
      <c r="AA30" s="63" t="str">
        <f t="shared" si="5"/>
        <v>RENDAH</v>
      </c>
      <c r="AB30" s="83"/>
      <c r="AC30" s="64">
        <v>1.0</v>
      </c>
      <c r="AD30" s="65">
        <f>IF(AA30="","",IF(AA30="TINGGI",3000000,IF(AA30="SEDERHANA",2000000,IF(AA30="RENDAH",1000000,500000)))+(41-30))</f>
        <v>1000011</v>
      </c>
      <c r="AZ30" s="3">
        <f t="shared" si="6"/>
        <v>20970</v>
      </c>
    </row>
    <row r="31" ht="47.25" customHeight="1">
      <c r="A31" s="66">
        <v>21.0</v>
      </c>
      <c r="B31" s="90" t="s">
        <v>77</v>
      </c>
      <c r="C31" s="66" t="s">
        <v>54</v>
      </c>
      <c r="D31" s="66">
        <v>4.0</v>
      </c>
      <c r="E31" s="87">
        <v>0.0</v>
      </c>
      <c r="F31" s="88">
        <v>0.0</v>
      </c>
      <c r="G31" s="68"/>
      <c r="H31" s="68">
        <v>0.0</v>
      </c>
      <c r="I31" s="68"/>
      <c r="J31" s="68">
        <v>0.0</v>
      </c>
      <c r="K31" s="68"/>
      <c r="L31" s="53">
        <f t="shared" si="1"/>
        <v>0</v>
      </c>
      <c r="M31" s="69">
        <f t="shared" si="2"/>
        <v>0</v>
      </c>
      <c r="N31" s="74" t="s">
        <v>65</v>
      </c>
      <c r="O31" s="56">
        <v>0.0</v>
      </c>
      <c r="P31" s="45">
        <f t="shared" si="3"/>
        <v>0</v>
      </c>
      <c r="Q31" s="56">
        <v>0.0</v>
      </c>
      <c r="R31" s="56"/>
      <c r="S31" s="56"/>
      <c r="T31" s="76"/>
      <c r="U31" s="77"/>
      <c r="V31" s="62"/>
      <c r="W31" s="62"/>
      <c r="X31" s="62"/>
      <c r="Y31" s="62"/>
      <c r="Z31" s="62">
        <f t="shared" si="4"/>
        <v>0</v>
      </c>
      <c r="AA31" s="63" t="str">
        <f t="shared" si="5"/>
        <v>RENDAH</v>
      </c>
      <c r="AB31" s="83"/>
      <c r="AC31" s="64"/>
      <c r="AD31" s="65">
        <f>IF(AA31="","",IF(AA31="TINGGI",3000000,IF(AA31="SEDERHANA",2000000,IF(AA31="RENDAH",1000000,500000)))+(41-31))</f>
        <v>1000010</v>
      </c>
      <c r="AZ31" s="3">
        <f t="shared" si="6"/>
        <v>-31</v>
      </c>
    </row>
    <row r="32" ht="60.0" customHeight="1">
      <c r="A32" s="66">
        <v>22.0</v>
      </c>
      <c r="B32" s="90" t="s">
        <v>78</v>
      </c>
      <c r="C32" s="66" t="s">
        <v>54</v>
      </c>
      <c r="D32" s="66">
        <v>59.0</v>
      </c>
      <c r="E32" s="66">
        <v>59.0</v>
      </c>
      <c r="F32" s="68">
        <v>59.0</v>
      </c>
      <c r="G32" s="68"/>
      <c r="H32" s="68"/>
      <c r="I32" s="68"/>
      <c r="J32" s="68"/>
      <c r="K32" s="68"/>
      <c r="L32" s="53">
        <f t="shared" si="1"/>
        <v>0</v>
      </c>
      <c r="M32" s="69">
        <f t="shared" si="2"/>
        <v>59</v>
      </c>
      <c r="N32" s="74" t="s">
        <v>79</v>
      </c>
      <c r="O32" s="56">
        <v>59.0</v>
      </c>
      <c r="P32" s="45">
        <f t="shared" si="3"/>
        <v>0</v>
      </c>
      <c r="Q32" s="56">
        <v>86.0</v>
      </c>
      <c r="R32" s="56"/>
      <c r="S32" s="56"/>
      <c r="T32" s="76"/>
      <c r="U32" s="77" t="s">
        <v>38</v>
      </c>
      <c r="V32" s="62" t="s">
        <v>48</v>
      </c>
      <c r="W32" s="62" t="s">
        <v>37</v>
      </c>
      <c r="X32" s="62" t="s">
        <v>56</v>
      </c>
      <c r="Y32" s="62" t="s">
        <v>56</v>
      </c>
      <c r="Z32" s="62">
        <f t="shared" si="4"/>
        <v>3</v>
      </c>
      <c r="AA32" s="63" t="str">
        <f t="shared" si="5"/>
        <v>SEDERHANA</v>
      </c>
      <c r="AB32" s="64"/>
      <c r="AC32" s="91">
        <v>1.0</v>
      </c>
      <c r="AD32" s="65">
        <f>IF(AA32="","",IF(AA32="TINGGI",3000000,IF(AA32="SEDERHANA",2000000,IF(AA32="RENDAH",1000000,500000)))+(41-32))</f>
        <v>2000009</v>
      </c>
      <c r="AZ32" s="3">
        <f t="shared" si="6"/>
        <v>29968</v>
      </c>
    </row>
    <row r="33" ht="117.75" customHeight="1">
      <c r="A33" s="66">
        <v>23.0</v>
      </c>
      <c r="B33" s="90" t="s">
        <v>80</v>
      </c>
      <c r="C33" s="66" t="s">
        <v>54</v>
      </c>
      <c r="D33" s="66">
        <v>80.0</v>
      </c>
      <c r="E33" s="87">
        <v>37.0</v>
      </c>
      <c r="F33" s="87">
        <v>37.0</v>
      </c>
      <c r="G33" s="68"/>
      <c r="H33" s="68"/>
      <c r="I33" s="68"/>
      <c r="J33" s="68"/>
      <c r="K33" s="68"/>
      <c r="L33" s="53">
        <f t="shared" si="1"/>
        <v>0</v>
      </c>
      <c r="M33" s="69">
        <f t="shared" si="2"/>
        <v>37</v>
      </c>
      <c r="N33" s="92" t="s">
        <v>81</v>
      </c>
      <c r="O33" s="93">
        <v>37.0</v>
      </c>
      <c r="P33" s="45">
        <f t="shared" si="3"/>
        <v>0</v>
      </c>
      <c r="Q33" s="56">
        <v>37.0</v>
      </c>
      <c r="R33" s="56"/>
      <c r="S33" s="56"/>
      <c r="T33" s="76" t="s">
        <v>82</v>
      </c>
      <c r="U33" s="77" t="s">
        <v>38</v>
      </c>
      <c r="V33" s="94" t="s">
        <v>48</v>
      </c>
      <c r="W33" s="94" t="s">
        <v>37</v>
      </c>
      <c r="X33" s="94" t="s">
        <v>56</v>
      </c>
      <c r="Y33" s="94" t="s">
        <v>56</v>
      </c>
      <c r="Z33" s="62">
        <f t="shared" si="4"/>
        <v>3</v>
      </c>
      <c r="AA33" s="63" t="str">
        <f t="shared" si="5"/>
        <v>SEDERHANA</v>
      </c>
      <c r="AB33" s="64"/>
      <c r="AC33" s="89">
        <v>2.0</v>
      </c>
      <c r="AD33" s="65">
        <f>IF(AA33="","",IF(AA33="TINGGI",3000000,IF(AA33="SEDERHANA",2000000,IF(AA33="RENDAH",1000000,500000)))+(41-33))</f>
        <v>2000008</v>
      </c>
      <c r="AZ33" s="3">
        <f t="shared" si="6"/>
        <v>29967</v>
      </c>
    </row>
    <row r="34" ht="25.5" customHeight="1">
      <c r="A34" s="66">
        <v>24.0</v>
      </c>
      <c r="B34" s="67" t="s">
        <v>83</v>
      </c>
      <c r="C34" s="66" t="s">
        <v>54</v>
      </c>
      <c r="D34" s="66">
        <v>3.0</v>
      </c>
      <c r="E34" s="68">
        <v>2.0</v>
      </c>
      <c r="F34" s="68"/>
      <c r="G34" s="68"/>
      <c r="H34" s="68"/>
      <c r="I34" s="68"/>
      <c r="J34" s="68"/>
      <c r="K34" s="68"/>
      <c r="L34" s="53">
        <f t="shared" si="1"/>
        <v>0</v>
      </c>
      <c r="M34" s="69">
        <f t="shared" si="2"/>
        <v>2</v>
      </c>
      <c r="N34" s="70" t="s">
        <v>84</v>
      </c>
      <c r="O34" s="56">
        <v>0.0</v>
      </c>
      <c r="P34" s="45">
        <f t="shared" si="3"/>
        <v>2</v>
      </c>
      <c r="Q34" s="56">
        <v>16.0</v>
      </c>
      <c r="R34" s="56"/>
      <c r="S34" s="56"/>
      <c r="T34" s="76"/>
      <c r="U34" s="77" t="s">
        <v>38</v>
      </c>
      <c r="V34" s="62" t="s">
        <v>38</v>
      </c>
      <c r="W34" s="62" t="s">
        <v>48</v>
      </c>
      <c r="X34" s="62" t="s">
        <v>38</v>
      </c>
      <c r="Y34" s="62" t="s">
        <v>38</v>
      </c>
      <c r="Z34" s="62">
        <f t="shared" si="4"/>
        <v>4.4</v>
      </c>
      <c r="AA34" s="63" t="str">
        <f t="shared" si="5"/>
        <v>TINGGI</v>
      </c>
      <c r="AB34" s="64"/>
      <c r="AC34" s="64">
        <v>1.0</v>
      </c>
      <c r="AD34" s="65">
        <f>IF(AA34="","",IF(AA34="TINGGI",3000000,IF(AA34="SEDERHANA",2000000,IF(AA34="RENDAH",1000000,500000)))+(41-34))</f>
        <v>3000007</v>
      </c>
      <c r="AZ34" s="3">
        <f t="shared" si="6"/>
        <v>43966</v>
      </c>
    </row>
    <row r="35" ht="25.5" customHeight="1">
      <c r="A35" s="66">
        <v>25.0</v>
      </c>
      <c r="B35" s="67" t="s">
        <v>85</v>
      </c>
      <c r="C35" s="66" t="s">
        <v>54</v>
      </c>
      <c r="D35" s="66">
        <v>0.0</v>
      </c>
      <c r="E35" s="68">
        <v>0.0</v>
      </c>
      <c r="F35" s="68"/>
      <c r="G35" s="68"/>
      <c r="H35" s="68"/>
      <c r="I35" s="68"/>
      <c r="J35" s="68"/>
      <c r="K35" s="68"/>
      <c r="L35" s="53">
        <f t="shared" si="1"/>
        <v>0</v>
      </c>
      <c r="M35" s="69">
        <f t="shared" si="2"/>
        <v>0</v>
      </c>
      <c r="N35" s="70"/>
      <c r="O35" s="56">
        <v>0.0</v>
      </c>
      <c r="P35" s="45">
        <f t="shared" si="3"/>
        <v>0</v>
      </c>
      <c r="Q35" s="56">
        <v>7.0</v>
      </c>
      <c r="R35" s="56"/>
      <c r="S35" s="56"/>
      <c r="T35" s="76" t="s">
        <v>86</v>
      </c>
      <c r="U35" s="77"/>
      <c r="V35" s="62"/>
      <c r="W35" s="62"/>
      <c r="X35" s="62"/>
      <c r="Y35" s="62"/>
      <c r="Z35" s="62">
        <f t="shared" si="4"/>
        <v>0</v>
      </c>
      <c r="AA35" s="63" t="str">
        <f t="shared" si="5"/>
        <v>RENDAH</v>
      </c>
      <c r="AB35" s="64"/>
      <c r="AC35" s="64"/>
      <c r="AD35" s="65">
        <f>IF(AA35="","",IF(AA35="TINGGI",3000000,IF(AA35="SEDERHANA",2000000,IF(AA35="RENDAH",1000000,500000)))+(41-35))</f>
        <v>1000006</v>
      </c>
      <c r="AZ35" s="3">
        <f t="shared" si="6"/>
        <v>-35</v>
      </c>
    </row>
    <row r="36" ht="25.5" customHeight="1">
      <c r="A36" s="66">
        <v>26.0</v>
      </c>
      <c r="B36" s="67" t="s">
        <v>87</v>
      </c>
      <c r="C36" s="66" t="s">
        <v>54</v>
      </c>
      <c r="D36" s="66">
        <v>7.0</v>
      </c>
      <c r="E36" s="66">
        <v>7.0</v>
      </c>
      <c r="F36" s="68"/>
      <c r="G36" s="68"/>
      <c r="H36" s="68"/>
      <c r="I36" s="68"/>
      <c r="J36" s="68"/>
      <c r="K36" s="68"/>
      <c r="L36" s="53">
        <f t="shared" si="1"/>
        <v>0</v>
      </c>
      <c r="M36" s="69">
        <f t="shared" si="2"/>
        <v>7</v>
      </c>
      <c r="N36" s="95" t="s">
        <v>88</v>
      </c>
      <c r="O36" s="56">
        <v>7.0</v>
      </c>
      <c r="P36" s="45">
        <f t="shared" si="3"/>
        <v>0</v>
      </c>
      <c r="Q36" s="56">
        <v>0.0</v>
      </c>
      <c r="R36" s="56"/>
      <c r="S36" s="56"/>
      <c r="T36" s="76"/>
      <c r="U36" s="77" t="s">
        <v>38</v>
      </c>
      <c r="V36" s="62" t="s">
        <v>38</v>
      </c>
      <c r="W36" s="62" t="s">
        <v>48</v>
      </c>
      <c r="X36" s="62" t="s">
        <v>38</v>
      </c>
      <c r="Y36" s="62" t="s">
        <v>48</v>
      </c>
      <c r="Z36" s="62">
        <f t="shared" si="4"/>
        <v>3.8</v>
      </c>
      <c r="AA36" s="63" t="str">
        <f t="shared" si="5"/>
        <v>SEDERHANA</v>
      </c>
      <c r="AB36" s="64"/>
      <c r="AC36" s="96">
        <v>1.0</v>
      </c>
      <c r="AD36" s="65">
        <f>IF(AA36="","",IF(AA36="TINGGI",3000000,IF(AA36="SEDERHANA",2000000,IF(AA36="RENDAH",1000000,500000)))+(41-36))</f>
        <v>2000005</v>
      </c>
      <c r="AZ36" s="3">
        <f t="shared" si="6"/>
        <v>37964</v>
      </c>
    </row>
    <row r="37" ht="25.5" customHeight="1">
      <c r="A37" s="97" t="s">
        <v>89</v>
      </c>
      <c r="B37" s="98"/>
      <c r="C37" s="99"/>
      <c r="D37" s="100">
        <f t="shared" ref="D37:K37" si="7">SUM(D11:D36)</f>
        <v>6264</v>
      </c>
      <c r="E37" s="100">
        <f t="shared" si="7"/>
        <v>6018</v>
      </c>
      <c r="F37" s="101">
        <f t="shared" si="7"/>
        <v>6009</v>
      </c>
      <c r="G37" s="101">
        <f t="shared" si="7"/>
        <v>3236</v>
      </c>
      <c r="H37" s="101">
        <f t="shared" si="7"/>
        <v>0</v>
      </c>
      <c r="I37" s="101">
        <f t="shared" si="7"/>
        <v>0</v>
      </c>
      <c r="J37" s="101">
        <f t="shared" si="7"/>
        <v>0</v>
      </c>
      <c r="K37" s="101">
        <f t="shared" si="7"/>
        <v>0</v>
      </c>
      <c r="L37" s="102">
        <f t="shared" si="1"/>
        <v>3236</v>
      </c>
      <c r="M37" s="100">
        <f>SUM(M11:M36)</f>
        <v>2782</v>
      </c>
      <c r="N37" s="103"/>
      <c r="O37" s="101">
        <f t="shared" ref="O37:R37" si="8">SUM(O11:O36)</f>
        <v>3511</v>
      </c>
      <c r="P37" s="101">
        <f t="shared" si="8"/>
        <v>2507</v>
      </c>
      <c r="Q37" s="104">
        <f t="shared" si="8"/>
        <v>1945</v>
      </c>
      <c r="R37" s="105">
        <f t="shared" si="8"/>
        <v>0</v>
      </c>
      <c r="S37" s="47"/>
      <c r="T37" s="106"/>
      <c r="U37" s="48"/>
      <c r="V37" s="48"/>
      <c r="W37" s="48"/>
      <c r="X37" s="48"/>
      <c r="Y37" s="48"/>
      <c r="Z37" s="48"/>
      <c r="AA37" s="48"/>
      <c r="AB37" s="3"/>
      <c r="AC37" s="3"/>
      <c r="AD37" s="3"/>
      <c r="AZ37" s="3"/>
    </row>
    <row r="38" ht="15.75" customHeight="1">
      <c r="A38" s="4"/>
      <c r="B38" s="4"/>
      <c r="C38" s="4"/>
      <c r="D38" s="4"/>
      <c r="E38" s="3"/>
      <c r="F38" s="4"/>
      <c r="G38" s="4"/>
      <c r="H38" s="4"/>
      <c r="I38" s="4"/>
      <c r="J38" s="4"/>
      <c r="K38" s="4"/>
      <c r="L38" s="4"/>
      <c r="M38" s="4"/>
      <c r="N38" s="5"/>
      <c r="O38" s="4"/>
      <c r="P38" s="4"/>
      <c r="Q38" s="4"/>
      <c r="R38" s="4"/>
      <c r="S38" s="4"/>
      <c r="T38" s="4"/>
      <c r="U38" s="4"/>
      <c r="V38" s="4"/>
      <c r="W38" s="4"/>
      <c r="X38" s="4"/>
      <c r="Y38" s="3"/>
      <c r="Z38" s="3"/>
      <c r="AA38" s="3"/>
      <c r="AB38" s="3"/>
      <c r="AC38" s="3"/>
      <c r="AD38" s="3"/>
      <c r="AZ38" s="3"/>
    </row>
    <row r="39" ht="15.75" customHeight="1">
      <c r="A39" s="107"/>
      <c r="B39" s="4"/>
      <c r="C39" s="4"/>
      <c r="D39" s="4"/>
      <c r="E39" s="3"/>
      <c r="F39" s="4"/>
      <c r="G39" s="4"/>
      <c r="H39" s="4"/>
      <c r="I39" s="4"/>
      <c r="J39" s="4"/>
      <c r="K39" s="4"/>
      <c r="L39" s="4"/>
      <c r="M39" s="108"/>
      <c r="N39" s="5"/>
      <c r="O39" s="4"/>
      <c r="P39" s="4"/>
      <c r="Q39" s="4"/>
      <c r="R39" s="4"/>
      <c r="S39" s="4"/>
      <c r="T39" s="4"/>
      <c r="U39" s="4"/>
      <c r="V39" s="4"/>
      <c r="W39" s="4"/>
      <c r="X39" s="4"/>
      <c r="Y39" s="3"/>
      <c r="Z39" s="3"/>
      <c r="AA39" s="3"/>
      <c r="AB39" s="3"/>
      <c r="AC39" s="3"/>
      <c r="AD39" s="3"/>
      <c r="AZ39" s="3"/>
    </row>
    <row r="40" ht="15.75" customHeight="1">
      <c r="A40" s="3"/>
      <c r="B40" s="4"/>
      <c r="C40" s="4"/>
      <c r="D40" s="4"/>
      <c r="E40" s="3"/>
      <c r="F40" s="4"/>
      <c r="G40" s="4"/>
      <c r="H40" s="4"/>
      <c r="I40" s="4"/>
      <c r="J40" s="4"/>
      <c r="K40" s="4"/>
      <c r="L40" s="4"/>
      <c r="M40" s="4"/>
      <c r="N40" s="5"/>
      <c r="O40" s="4"/>
      <c r="P40" s="4"/>
      <c r="Q40" s="4"/>
      <c r="R40" s="4"/>
      <c r="S40" s="4"/>
      <c r="T40" s="4"/>
      <c r="U40" s="4"/>
      <c r="V40" s="4"/>
      <c r="W40" s="4"/>
      <c r="X40" s="4"/>
      <c r="Y40" s="3"/>
      <c r="Z40" s="3"/>
      <c r="AA40" s="3"/>
      <c r="AB40" s="3"/>
      <c r="AC40" s="3"/>
      <c r="AD40" s="3"/>
      <c r="AZ40" s="3"/>
    </row>
    <row r="41" ht="15.75" customHeight="1">
      <c r="A41" s="1"/>
      <c r="B41" s="4"/>
      <c r="C41" s="4"/>
      <c r="D41" s="4"/>
      <c r="E41" s="3"/>
      <c r="F41" s="4"/>
      <c r="G41" s="4"/>
      <c r="H41" s="4"/>
      <c r="I41" s="4"/>
      <c r="J41" s="4"/>
      <c r="K41" s="4"/>
      <c r="L41" s="4"/>
      <c r="M41" s="4"/>
      <c r="N41" s="5"/>
      <c r="O41" s="4"/>
      <c r="P41" s="4"/>
      <c r="Q41" s="4"/>
      <c r="R41" s="4"/>
      <c r="S41" s="4"/>
      <c r="T41" s="4"/>
      <c r="U41" s="4"/>
      <c r="V41" s="4"/>
      <c r="W41" s="4"/>
      <c r="X41" s="4"/>
      <c r="Y41" s="3"/>
      <c r="Z41" s="3"/>
      <c r="AA41" s="3"/>
      <c r="AB41" s="3"/>
      <c r="AC41" s="3"/>
      <c r="AD41" s="3"/>
      <c r="AZ41" s="3"/>
    </row>
    <row r="42" ht="15.75" customHeight="1">
      <c r="A42" s="4"/>
      <c r="B42" s="4"/>
      <c r="C42" s="4"/>
      <c r="D42" s="4"/>
      <c r="E42" s="3"/>
      <c r="F42" s="4"/>
      <c r="G42" s="4"/>
      <c r="H42" s="4"/>
      <c r="I42" s="4"/>
      <c r="J42" s="4"/>
      <c r="K42" s="4"/>
      <c r="L42" s="4"/>
      <c r="M42" s="4"/>
      <c r="N42" s="5"/>
      <c r="O42" s="4"/>
      <c r="P42" s="4"/>
      <c r="Q42" s="4"/>
      <c r="R42" s="4"/>
      <c r="S42" s="4"/>
      <c r="T42" s="4"/>
      <c r="U42" s="4"/>
      <c r="V42" s="4"/>
      <c r="W42" s="4"/>
      <c r="X42" s="4"/>
      <c r="Y42" s="3"/>
      <c r="Z42" s="3"/>
      <c r="AA42" s="3"/>
      <c r="AB42" s="3"/>
      <c r="AC42" s="3"/>
      <c r="AD42" s="3"/>
      <c r="AZ42" s="3"/>
    </row>
    <row r="43" ht="15.75" customHeight="1">
      <c r="A43" s="4"/>
      <c r="B43" s="4"/>
      <c r="C43" s="4"/>
      <c r="D43" s="4"/>
      <c r="E43" s="3"/>
      <c r="F43" s="4"/>
      <c r="G43" s="4"/>
      <c r="H43" s="4"/>
      <c r="I43" s="4"/>
      <c r="J43" s="4"/>
      <c r="K43" s="4"/>
      <c r="L43" s="4"/>
      <c r="M43" s="4"/>
      <c r="N43" s="5"/>
      <c r="O43" s="4"/>
      <c r="P43" s="4"/>
      <c r="Q43" s="4"/>
      <c r="R43" s="4"/>
      <c r="S43" s="4"/>
      <c r="T43" s="4"/>
      <c r="U43" s="4"/>
      <c r="V43" s="4"/>
      <c r="W43" s="4"/>
      <c r="X43" s="4"/>
      <c r="Y43" s="3"/>
      <c r="Z43" s="3"/>
      <c r="AA43" s="3"/>
      <c r="AB43" s="3"/>
      <c r="AC43" s="3"/>
      <c r="AD43" s="3"/>
      <c r="AZ43" s="3"/>
    </row>
    <row r="44" ht="15.75" customHeight="1">
      <c r="A44" s="4"/>
      <c r="B44" s="4"/>
      <c r="C44" s="4"/>
      <c r="D44" s="4"/>
      <c r="E44" s="3"/>
      <c r="F44" s="4"/>
      <c r="G44" s="4"/>
      <c r="H44" s="4"/>
      <c r="I44" s="4"/>
      <c r="J44" s="4"/>
      <c r="K44" s="4"/>
      <c r="L44" s="4"/>
      <c r="M44" s="4"/>
      <c r="N44" s="5"/>
      <c r="O44" s="4"/>
      <c r="P44" s="4"/>
      <c r="Q44" s="4"/>
      <c r="R44" s="4"/>
      <c r="S44" s="4"/>
      <c r="T44" s="4"/>
      <c r="U44" s="4"/>
      <c r="V44" s="4"/>
      <c r="W44" s="4"/>
      <c r="X44" s="4"/>
      <c r="Y44" s="3"/>
      <c r="Z44" s="3"/>
      <c r="AA44" s="3"/>
      <c r="AB44" s="3"/>
      <c r="AC44" s="3"/>
      <c r="AD44" s="3"/>
      <c r="AZ44" s="3"/>
    </row>
    <row r="45" ht="15.75" customHeight="1">
      <c r="A45" s="4"/>
      <c r="B45" s="4"/>
      <c r="C45" s="4"/>
      <c r="D45" s="4"/>
      <c r="E45" s="3"/>
      <c r="F45" s="4"/>
      <c r="G45" s="4"/>
      <c r="H45" s="4"/>
      <c r="I45" s="4"/>
      <c r="J45" s="4"/>
      <c r="K45" s="4"/>
      <c r="L45" s="4"/>
      <c r="M45" s="4"/>
      <c r="N45" s="5"/>
      <c r="O45" s="4"/>
      <c r="P45" s="4"/>
      <c r="Q45" s="4"/>
      <c r="R45" s="4"/>
      <c r="S45" s="4"/>
      <c r="T45" s="4"/>
      <c r="U45" s="4"/>
      <c r="V45" s="4"/>
      <c r="W45" s="4"/>
      <c r="X45" s="4"/>
      <c r="Y45" s="3"/>
      <c r="Z45" s="3"/>
      <c r="AA45" s="3"/>
      <c r="AB45" s="3"/>
      <c r="AC45" s="3"/>
      <c r="AD45" s="3"/>
      <c r="AZ45" s="3"/>
    </row>
    <row r="46" ht="15.75" customHeight="1">
      <c r="A46" s="4"/>
      <c r="B46" s="4"/>
      <c r="C46" s="4"/>
      <c r="D46" s="4"/>
      <c r="E46" s="3"/>
      <c r="F46" s="4"/>
      <c r="G46" s="4"/>
      <c r="H46" s="4"/>
      <c r="I46" s="4"/>
      <c r="J46" s="4"/>
      <c r="K46" s="4"/>
      <c r="L46" s="4"/>
      <c r="M46" s="4"/>
      <c r="N46" s="5"/>
      <c r="O46" s="4"/>
      <c r="P46" s="4"/>
      <c r="Q46" s="4"/>
      <c r="R46" s="4"/>
      <c r="S46" s="4"/>
      <c r="T46" s="4"/>
      <c r="U46" s="4"/>
      <c r="V46" s="4"/>
      <c r="W46" s="4"/>
      <c r="X46" s="4"/>
      <c r="Y46" s="3"/>
      <c r="Z46" s="3"/>
      <c r="AA46" s="3"/>
      <c r="AB46" s="3"/>
      <c r="AC46" s="3"/>
      <c r="AD46" s="3"/>
      <c r="AZ46" s="3"/>
    </row>
    <row r="47" ht="15.75" customHeight="1">
      <c r="A47" s="4"/>
      <c r="B47" s="4"/>
      <c r="C47" s="4"/>
      <c r="D47" s="4"/>
      <c r="E47" s="3"/>
      <c r="F47" s="4"/>
      <c r="G47" s="4"/>
      <c r="H47" s="4"/>
      <c r="I47" s="4"/>
      <c r="J47" s="4"/>
      <c r="K47" s="4"/>
      <c r="L47" s="4"/>
      <c r="M47" s="4"/>
      <c r="N47" s="5"/>
      <c r="O47" s="4"/>
      <c r="P47" s="4"/>
      <c r="Q47" s="4"/>
      <c r="R47" s="4"/>
      <c r="S47" s="4"/>
      <c r="T47" s="4"/>
      <c r="U47" s="4"/>
      <c r="V47" s="4"/>
      <c r="W47" s="4"/>
      <c r="X47" s="4"/>
      <c r="Y47" s="3"/>
      <c r="Z47" s="3"/>
      <c r="AA47" s="3"/>
      <c r="AB47" s="3"/>
      <c r="AC47" s="3"/>
      <c r="AD47" s="3"/>
      <c r="AZ47" s="3"/>
    </row>
    <row r="48" ht="15.75" customHeight="1">
      <c r="A48" s="4"/>
      <c r="B48" s="4"/>
      <c r="C48" s="4"/>
      <c r="D48" s="4"/>
      <c r="E48" s="3"/>
      <c r="F48" s="4"/>
      <c r="G48" s="4"/>
      <c r="H48" s="4"/>
      <c r="I48" s="4"/>
      <c r="J48" s="4"/>
      <c r="K48" s="4"/>
      <c r="L48" s="4"/>
      <c r="M48" s="4"/>
      <c r="N48" s="5"/>
      <c r="O48" s="4"/>
      <c r="P48" s="4"/>
      <c r="Q48" s="4"/>
      <c r="R48" s="4"/>
      <c r="S48" s="4"/>
      <c r="T48" s="4"/>
      <c r="U48" s="4"/>
      <c r="V48" s="4"/>
      <c r="W48" s="4"/>
      <c r="X48" s="4"/>
      <c r="Y48" s="3"/>
      <c r="Z48" s="3"/>
      <c r="AA48" s="3"/>
      <c r="AB48" s="3"/>
      <c r="AC48" s="3"/>
      <c r="AD48" s="3"/>
      <c r="AZ48" s="3"/>
    </row>
    <row r="49" ht="15.75" customHeight="1">
      <c r="A49" s="4"/>
      <c r="B49" s="4"/>
      <c r="C49" s="4"/>
      <c r="D49" s="4"/>
      <c r="E49" s="3"/>
      <c r="F49" s="4"/>
      <c r="G49" s="4"/>
      <c r="H49" s="4"/>
      <c r="I49" s="4"/>
      <c r="J49" s="4"/>
      <c r="K49" s="4"/>
      <c r="L49" s="4"/>
      <c r="M49" s="4"/>
      <c r="N49" s="5"/>
      <c r="O49" s="4"/>
      <c r="P49" s="4"/>
      <c r="Q49" s="4"/>
      <c r="R49" s="4"/>
      <c r="S49" s="4"/>
      <c r="T49" s="4"/>
      <c r="U49" s="4"/>
      <c r="V49" s="4"/>
      <c r="W49" s="4"/>
      <c r="X49" s="4"/>
      <c r="Y49" s="3"/>
      <c r="Z49" s="3"/>
      <c r="AA49" s="3"/>
      <c r="AB49" s="3"/>
      <c r="AC49" s="3"/>
      <c r="AD49" s="3"/>
      <c r="AZ49" s="3"/>
    </row>
    <row r="50" ht="15.75" customHeight="1">
      <c r="A50" s="4"/>
      <c r="B50" s="4"/>
      <c r="C50" s="4"/>
      <c r="D50" s="4"/>
      <c r="E50" s="3"/>
      <c r="F50" s="4"/>
      <c r="G50" s="4"/>
      <c r="H50" s="4"/>
      <c r="I50" s="4"/>
      <c r="J50" s="4"/>
      <c r="K50" s="4"/>
      <c r="L50" s="4"/>
      <c r="M50" s="4"/>
      <c r="N50" s="5"/>
      <c r="O50" s="4"/>
      <c r="P50" s="4"/>
      <c r="Q50" s="4"/>
      <c r="R50" s="4"/>
      <c r="S50" s="4"/>
      <c r="T50" s="4"/>
      <c r="U50" s="4"/>
      <c r="V50" s="4"/>
      <c r="W50" s="4"/>
      <c r="X50" s="4"/>
      <c r="Y50" s="3"/>
      <c r="Z50" s="3"/>
      <c r="AA50" s="3"/>
      <c r="AB50" s="3"/>
      <c r="AC50" s="3"/>
      <c r="AD50" s="3"/>
      <c r="AZ50" s="3"/>
    </row>
    <row r="51" ht="15.75" customHeight="1">
      <c r="A51" s="4"/>
      <c r="B51" s="4"/>
      <c r="C51" s="4"/>
      <c r="D51" s="4"/>
      <c r="E51" s="3"/>
      <c r="F51" s="4"/>
      <c r="G51" s="4"/>
      <c r="H51" s="4"/>
      <c r="I51" s="4"/>
      <c r="J51" s="4"/>
      <c r="K51" s="4"/>
      <c r="L51" s="4"/>
      <c r="M51" s="4"/>
      <c r="N51" s="5"/>
      <c r="O51" s="4"/>
      <c r="P51" s="4"/>
      <c r="Q51" s="4"/>
      <c r="R51" s="4"/>
      <c r="S51" s="4"/>
      <c r="T51" s="4"/>
      <c r="U51" s="4"/>
      <c r="V51" s="4"/>
      <c r="W51" s="4"/>
      <c r="X51" s="4"/>
      <c r="Y51" s="3"/>
      <c r="Z51" s="3"/>
      <c r="AA51" s="3"/>
      <c r="AB51" s="3"/>
      <c r="AC51" s="3"/>
      <c r="AD51" s="3"/>
      <c r="AZ51" s="3"/>
    </row>
    <row r="52" ht="15.75" customHeight="1">
      <c r="A52" s="4"/>
      <c r="B52" s="4"/>
      <c r="C52" s="4"/>
      <c r="D52" s="4"/>
      <c r="E52" s="3"/>
      <c r="F52" s="4"/>
      <c r="G52" s="4"/>
      <c r="H52" s="4"/>
      <c r="I52" s="4"/>
      <c r="J52" s="4"/>
      <c r="K52" s="4"/>
      <c r="L52" s="4"/>
      <c r="M52" s="4"/>
      <c r="N52" s="5"/>
      <c r="O52" s="4"/>
      <c r="P52" s="4"/>
      <c r="Q52" s="4"/>
      <c r="R52" s="4"/>
      <c r="S52" s="4"/>
      <c r="T52" s="4"/>
      <c r="U52" s="4"/>
      <c r="V52" s="4"/>
      <c r="W52" s="4"/>
      <c r="X52" s="4"/>
      <c r="Y52" s="3"/>
      <c r="Z52" s="3"/>
      <c r="AA52" s="3"/>
      <c r="AB52" s="3"/>
      <c r="AC52" s="3"/>
      <c r="AD52" s="3"/>
      <c r="AZ52" s="3"/>
    </row>
    <row r="53" ht="15.75" customHeight="1">
      <c r="A53" s="4"/>
      <c r="B53" s="4"/>
      <c r="C53" s="4"/>
      <c r="D53" s="4"/>
      <c r="E53" s="3"/>
      <c r="F53" s="4"/>
      <c r="G53" s="4"/>
      <c r="H53" s="4"/>
      <c r="I53" s="4"/>
      <c r="J53" s="4"/>
      <c r="K53" s="4"/>
      <c r="L53" s="4"/>
      <c r="M53" s="4"/>
      <c r="N53" s="5"/>
      <c r="O53" s="4"/>
      <c r="P53" s="4"/>
      <c r="Q53" s="4"/>
      <c r="R53" s="4"/>
      <c r="S53" s="4"/>
      <c r="T53" s="4"/>
      <c r="U53" s="4"/>
      <c r="V53" s="4"/>
      <c r="W53" s="4"/>
      <c r="X53" s="4"/>
      <c r="Y53" s="3"/>
      <c r="Z53" s="3"/>
      <c r="AA53" s="3"/>
      <c r="AB53" s="3"/>
      <c r="AC53" s="3"/>
      <c r="AD53" s="3"/>
      <c r="AZ53" s="3"/>
    </row>
    <row r="54" ht="15.75" customHeight="1">
      <c r="A54" s="4"/>
      <c r="B54" s="4"/>
      <c r="C54" s="4"/>
      <c r="D54" s="4"/>
      <c r="E54" s="3"/>
      <c r="F54" s="4"/>
      <c r="G54" s="4"/>
      <c r="H54" s="4"/>
      <c r="I54" s="4"/>
      <c r="J54" s="4"/>
      <c r="K54" s="4"/>
      <c r="L54" s="4"/>
      <c r="M54" s="4"/>
      <c r="N54" s="5"/>
      <c r="O54" s="4"/>
      <c r="P54" s="4"/>
      <c r="Q54" s="4"/>
      <c r="R54" s="4"/>
      <c r="S54" s="4"/>
      <c r="T54" s="4"/>
      <c r="U54" s="4"/>
      <c r="V54" s="4"/>
      <c r="W54" s="4"/>
      <c r="X54" s="4"/>
      <c r="Y54" s="3"/>
      <c r="Z54" s="3"/>
      <c r="AA54" s="3"/>
      <c r="AB54" s="3"/>
      <c r="AC54" s="3"/>
      <c r="AD54" s="3"/>
      <c r="AZ54" s="3"/>
    </row>
    <row r="55" ht="15.75" customHeight="1">
      <c r="A55" s="4"/>
      <c r="B55" s="4"/>
      <c r="C55" s="4"/>
      <c r="D55" s="4"/>
      <c r="E55" s="3"/>
      <c r="F55" s="4"/>
      <c r="G55" s="4"/>
      <c r="H55" s="4"/>
      <c r="I55" s="4"/>
      <c r="J55" s="4"/>
      <c r="K55" s="4"/>
      <c r="L55" s="4"/>
      <c r="M55" s="4"/>
      <c r="N55" s="5"/>
      <c r="O55" s="4"/>
      <c r="P55" s="4"/>
      <c r="Q55" s="4"/>
      <c r="R55" s="4"/>
      <c r="S55" s="4"/>
      <c r="T55" s="4"/>
      <c r="U55" s="4"/>
      <c r="V55" s="4"/>
      <c r="W55" s="4"/>
      <c r="X55" s="4"/>
      <c r="Y55" s="3"/>
      <c r="Z55" s="3"/>
      <c r="AA55" s="3"/>
      <c r="AB55" s="3"/>
      <c r="AC55" s="3"/>
      <c r="AD55" s="3"/>
      <c r="AZ55" s="3"/>
    </row>
    <row r="56" ht="15.75" customHeight="1">
      <c r="A56" s="4"/>
      <c r="B56" s="4"/>
      <c r="C56" s="4"/>
      <c r="D56" s="4"/>
      <c r="E56" s="3"/>
      <c r="F56" s="4"/>
      <c r="G56" s="4"/>
      <c r="H56" s="4"/>
      <c r="I56" s="4"/>
      <c r="J56" s="4"/>
      <c r="K56" s="4"/>
      <c r="L56" s="4"/>
      <c r="M56" s="4"/>
      <c r="N56" s="5"/>
      <c r="O56" s="4"/>
      <c r="P56" s="4"/>
      <c r="Q56" s="4"/>
      <c r="R56" s="4"/>
      <c r="S56" s="4"/>
      <c r="T56" s="4"/>
      <c r="U56" s="4"/>
      <c r="V56" s="4"/>
      <c r="W56" s="4"/>
      <c r="X56" s="4"/>
      <c r="Y56" s="3"/>
      <c r="Z56" s="3"/>
      <c r="AA56" s="3"/>
      <c r="AB56" s="3"/>
      <c r="AC56" s="3"/>
      <c r="AD56" s="3"/>
      <c r="AZ56" s="3"/>
    </row>
    <row r="57" ht="15.75" customHeight="1">
      <c r="A57" s="4"/>
      <c r="B57" s="4"/>
      <c r="C57" s="4"/>
      <c r="D57" s="4"/>
      <c r="E57" s="3"/>
      <c r="F57" s="4"/>
      <c r="G57" s="4"/>
      <c r="H57" s="4"/>
      <c r="I57" s="4"/>
      <c r="J57" s="4"/>
      <c r="K57" s="4"/>
      <c r="L57" s="4"/>
      <c r="M57" s="4"/>
      <c r="N57" s="5"/>
      <c r="O57" s="4"/>
      <c r="P57" s="4"/>
      <c r="Q57" s="4"/>
      <c r="R57" s="4"/>
      <c r="S57" s="4"/>
      <c r="T57" s="4"/>
      <c r="U57" s="4"/>
      <c r="V57" s="4"/>
      <c r="W57" s="4"/>
      <c r="X57" s="4"/>
      <c r="Y57" s="3"/>
      <c r="Z57" s="3"/>
      <c r="AA57" s="3"/>
      <c r="AB57" s="3"/>
      <c r="AC57" s="3"/>
      <c r="AD57" s="3"/>
      <c r="AZ57" s="3"/>
    </row>
    <row r="58" ht="15.75" customHeight="1">
      <c r="A58" s="4"/>
      <c r="B58" s="4"/>
      <c r="C58" s="4"/>
      <c r="D58" s="4"/>
      <c r="E58" s="3"/>
      <c r="F58" s="4"/>
      <c r="G58" s="4"/>
      <c r="H58" s="4"/>
      <c r="I58" s="4"/>
      <c r="J58" s="4"/>
      <c r="K58" s="4"/>
      <c r="L58" s="4"/>
      <c r="M58" s="4"/>
      <c r="N58" s="5"/>
      <c r="O58" s="4"/>
      <c r="P58" s="4"/>
      <c r="Q58" s="4"/>
      <c r="R58" s="4"/>
      <c r="S58" s="4"/>
      <c r="T58" s="4"/>
      <c r="U58" s="4"/>
      <c r="V58" s="4"/>
      <c r="W58" s="4"/>
      <c r="X58" s="4"/>
      <c r="Y58" s="3"/>
      <c r="Z58" s="3"/>
      <c r="AA58" s="3"/>
      <c r="AB58" s="3"/>
      <c r="AC58" s="3"/>
      <c r="AD58" s="3"/>
      <c r="AZ58" s="3"/>
    </row>
    <row r="59" ht="15.75" customHeight="1">
      <c r="A59" s="4"/>
      <c r="B59" s="4"/>
      <c r="C59" s="4"/>
      <c r="D59" s="4"/>
      <c r="E59" s="3"/>
      <c r="F59" s="4"/>
      <c r="G59" s="4"/>
      <c r="H59" s="4"/>
      <c r="I59" s="4"/>
      <c r="J59" s="4"/>
      <c r="K59" s="4"/>
      <c r="L59" s="4"/>
      <c r="M59" s="4"/>
      <c r="N59" s="5"/>
      <c r="O59" s="4"/>
      <c r="P59" s="4"/>
      <c r="Q59" s="4"/>
      <c r="R59" s="4"/>
      <c r="S59" s="4"/>
      <c r="T59" s="4"/>
      <c r="U59" s="4"/>
      <c r="V59" s="4"/>
      <c r="W59" s="4"/>
      <c r="X59" s="4"/>
      <c r="Y59" s="3"/>
      <c r="Z59" s="3"/>
      <c r="AA59" s="3"/>
      <c r="AB59" s="3"/>
      <c r="AC59" s="3"/>
      <c r="AD59" s="3"/>
      <c r="AZ59" s="3"/>
    </row>
    <row r="60" ht="15.75" customHeight="1">
      <c r="A60" s="4"/>
      <c r="B60" s="4"/>
      <c r="C60" s="4"/>
      <c r="D60" s="4"/>
      <c r="E60" s="3"/>
      <c r="F60" s="4"/>
      <c r="G60" s="4"/>
      <c r="H60" s="4"/>
      <c r="I60" s="4"/>
      <c r="J60" s="4"/>
      <c r="K60" s="4"/>
      <c r="L60" s="4"/>
      <c r="M60" s="4"/>
      <c r="N60" s="5"/>
      <c r="O60" s="4"/>
      <c r="P60" s="4"/>
      <c r="Q60" s="4"/>
      <c r="R60" s="4"/>
      <c r="S60" s="4"/>
      <c r="T60" s="4"/>
      <c r="U60" s="4"/>
      <c r="V60" s="4"/>
      <c r="W60" s="4"/>
      <c r="X60" s="4"/>
      <c r="Y60" s="3"/>
      <c r="Z60" s="3"/>
      <c r="AA60" s="3"/>
      <c r="AB60" s="3"/>
      <c r="AC60" s="3"/>
      <c r="AD60" s="3"/>
      <c r="AZ60" s="3"/>
    </row>
    <row r="61" ht="15.75" customHeight="1">
      <c r="A61" s="4"/>
      <c r="B61" s="4"/>
      <c r="C61" s="4"/>
      <c r="D61" s="4"/>
      <c r="E61" s="3"/>
      <c r="F61" s="4"/>
      <c r="G61" s="4"/>
      <c r="H61" s="4"/>
      <c r="I61" s="4"/>
      <c r="J61" s="4"/>
      <c r="K61" s="4"/>
      <c r="L61" s="4"/>
      <c r="M61" s="4"/>
      <c r="N61" s="5"/>
      <c r="O61" s="4"/>
      <c r="P61" s="4"/>
      <c r="Q61" s="4"/>
      <c r="R61" s="4"/>
      <c r="S61" s="4"/>
      <c r="T61" s="4"/>
      <c r="U61" s="4"/>
      <c r="V61" s="4"/>
      <c r="W61" s="4"/>
      <c r="X61" s="4"/>
      <c r="Y61" s="3"/>
      <c r="Z61" s="3"/>
      <c r="AA61" s="3"/>
      <c r="AB61" s="3"/>
      <c r="AC61" s="3"/>
      <c r="AD61" s="3"/>
      <c r="AZ61" s="3"/>
    </row>
    <row r="62" ht="15.75" customHeight="1">
      <c r="A62" s="4"/>
      <c r="B62" s="4"/>
      <c r="C62" s="4"/>
      <c r="D62" s="4"/>
      <c r="E62" s="3"/>
      <c r="F62" s="4"/>
      <c r="G62" s="4"/>
      <c r="H62" s="4"/>
      <c r="I62" s="4"/>
      <c r="J62" s="4"/>
      <c r="K62" s="4"/>
      <c r="L62" s="4"/>
      <c r="M62" s="4"/>
      <c r="N62" s="5"/>
      <c r="O62" s="4"/>
      <c r="P62" s="4"/>
      <c r="Q62" s="4"/>
      <c r="R62" s="4"/>
      <c r="S62" s="4"/>
      <c r="T62" s="4"/>
      <c r="U62" s="4"/>
      <c r="V62" s="4"/>
      <c r="W62" s="4"/>
      <c r="X62" s="4"/>
      <c r="Y62" s="3"/>
      <c r="Z62" s="3"/>
      <c r="AA62" s="3"/>
      <c r="AB62" s="3"/>
      <c r="AC62" s="3"/>
      <c r="AD62" s="3"/>
      <c r="AZ62" s="3"/>
    </row>
    <row r="63" ht="15.75" customHeight="1">
      <c r="A63" s="4"/>
      <c r="B63" s="4"/>
      <c r="C63" s="4"/>
      <c r="D63" s="4"/>
      <c r="E63" s="3"/>
      <c r="F63" s="4"/>
      <c r="G63" s="4"/>
      <c r="H63" s="4"/>
      <c r="I63" s="4"/>
      <c r="J63" s="4"/>
      <c r="K63" s="4"/>
      <c r="L63" s="4"/>
      <c r="M63" s="4"/>
      <c r="N63" s="5"/>
      <c r="O63" s="4"/>
      <c r="P63" s="4"/>
      <c r="Q63" s="4"/>
      <c r="R63" s="4"/>
      <c r="S63" s="4"/>
      <c r="T63" s="4"/>
      <c r="U63" s="4"/>
      <c r="V63" s="4"/>
      <c r="W63" s="4"/>
      <c r="X63" s="4"/>
      <c r="Y63" s="3"/>
      <c r="Z63" s="3"/>
      <c r="AA63" s="3"/>
      <c r="AB63" s="3"/>
      <c r="AC63" s="3"/>
      <c r="AD63" s="3"/>
      <c r="AZ63" s="3"/>
    </row>
    <row r="64" ht="15.75" customHeight="1">
      <c r="A64" s="4"/>
      <c r="B64" s="4"/>
      <c r="C64" s="4"/>
      <c r="D64" s="4"/>
      <c r="E64" s="3"/>
      <c r="F64" s="4"/>
      <c r="G64" s="4"/>
      <c r="H64" s="4"/>
      <c r="I64" s="4"/>
      <c r="J64" s="4"/>
      <c r="K64" s="4"/>
      <c r="L64" s="4"/>
      <c r="M64" s="4"/>
      <c r="N64" s="5"/>
      <c r="O64" s="4"/>
      <c r="P64" s="4"/>
      <c r="Q64" s="4"/>
      <c r="R64" s="4"/>
      <c r="S64" s="4"/>
      <c r="T64" s="4"/>
      <c r="U64" s="4"/>
      <c r="V64" s="4"/>
      <c r="W64" s="4"/>
      <c r="X64" s="4"/>
      <c r="Y64" s="3"/>
      <c r="Z64" s="3"/>
      <c r="AA64" s="3"/>
      <c r="AB64" s="3"/>
      <c r="AC64" s="3"/>
      <c r="AD64" s="3"/>
      <c r="AZ64" s="3"/>
    </row>
    <row r="65" ht="15.75" customHeight="1">
      <c r="A65" s="4"/>
      <c r="B65" s="4"/>
      <c r="C65" s="4"/>
      <c r="D65" s="4"/>
      <c r="E65" s="3"/>
      <c r="F65" s="4"/>
      <c r="G65" s="4"/>
      <c r="H65" s="4"/>
      <c r="I65" s="4"/>
      <c r="J65" s="4"/>
      <c r="K65" s="4"/>
      <c r="L65" s="4"/>
      <c r="M65" s="4"/>
      <c r="N65" s="5"/>
      <c r="O65" s="4"/>
      <c r="P65" s="4"/>
      <c r="Q65" s="4"/>
      <c r="R65" s="4"/>
      <c r="S65" s="4"/>
      <c r="T65" s="4"/>
      <c r="U65" s="4"/>
      <c r="V65" s="4"/>
      <c r="W65" s="4"/>
      <c r="X65" s="4"/>
      <c r="Y65" s="3"/>
      <c r="Z65" s="3"/>
      <c r="AA65" s="3"/>
      <c r="AB65" s="3"/>
      <c r="AC65" s="3"/>
      <c r="AD65" s="3"/>
      <c r="AZ65" s="3"/>
    </row>
    <row r="66" ht="15.75" customHeight="1">
      <c r="A66" s="4"/>
      <c r="B66" s="4"/>
      <c r="C66" s="4"/>
      <c r="D66" s="4"/>
      <c r="E66" s="3"/>
      <c r="F66" s="4"/>
      <c r="G66" s="4"/>
      <c r="H66" s="4"/>
      <c r="I66" s="4"/>
      <c r="J66" s="4"/>
      <c r="K66" s="4"/>
      <c r="L66" s="4"/>
      <c r="M66" s="4"/>
      <c r="N66" s="5"/>
      <c r="O66" s="4"/>
      <c r="P66" s="4"/>
      <c r="Q66" s="4"/>
      <c r="R66" s="4"/>
      <c r="S66" s="4"/>
      <c r="T66" s="4"/>
      <c r="U66" s="4"/>
      <c r="V66" s="4"/>
      <c r="W66" s="4"/>
      <c r="X66" s="4"/>
      <c r="Y66" s="3"/>
      <c r="Z66" s="3"/>
      <c r="AA66" s="3"/>
      <c r="AB66" s="3"/>
      <c r="AC66" s="3"/>
      <c r="AD66" s="3"/>
      <c r="AZ66" s="3"/>
    </row>
    <row r="67" ht="15.75" customHeight="1">
      <c r="A67" s="4"/>
      <c r="B67" s="4"/>
      <c r="C67" s="4"/>
      <c r="D67" s="4"/>
      <c r="E67" s="3"/>
      <c r="F67" s="4"/>
      <c r="G67" s="4"/>
      <c r="H67" s="4"/>
      <c r="I67" s="4"/>
      <c r="J67" s="4"/>
      <c r="K67" s="4"/>
      <c r="L67" s="4"/>
      <c r="M67" s="4"/>
      <c r="N67" s="5"/>
      <c r="O67" s="4"/>
      <c r="P67" s="4"/>
      <c r="Q67" s="4"/>
      <c r="R67" s="4"/>
      <c r="S67" s="4"/>
      <c r="T67" s="4"/>
      <c r="U67" s="4"/>
      <c r="V67" s="4"/>
      <c r="W67" s="4"/>
      <c r="X67" s="4"/>
      <c r="Y67" s="3"/>
      <c r="Z67" s="3"/>
      <c r="AA67" s="3"/>
      <c r="AB67" s="3"/>
      <c r="AC67" s="3"/>
      <c r="AD67" s="3"/>
      <c r="AZ67" s="3"/>
    </row>
    <row r="68" ht="15.75" customHeight="1">
      <c r="A68" s="4"/>
      <c r="B68" s="4"/>
      <c r="C68" s="4"/>
      <c r="D68" s="4"/>
      <c r="E68" s="3"/>
      <c r="F68" s="4"/>
      <c r="G68" s="4"/>
      <c r="H68" s="4"/>
      <c r="I68" s="4"/>
      <c r="J68" s="4"/>
      <c r="K68" s="4"/>
      <c r="L68" s="4"/>
      <c r="M68" s="4"/>
      <c r="N68" s="5"/>
      <c r="O68" s="4"/>
      <c r="P68" s="4"/>
      <c r="Q68" s="4"/>
      <c r="R68" s="4"/>
      <c r="S68" s="4"/>
      <c r="T68" s="4"/>
      <c r="U68" s="4"/>
      <c r="V68" s="4"/>
      <c r="W68" s="4"/>
      <c r="X68" s="4"/>
      <c r="Y68" s="3"/>
      <c r="Z68" s="3"/>
      <c r="AA68" s="3"/>
      <c r="AB68" s="3"/>
      <c r="AC68" s="3"/>
      <c r="AD68" s="3"/>
      <c r="AZ68" s="3"/>
    </row>
    <row r="69" ht="15.75" customHeight="1">
      <c r="A69" s="4"/>
      <c r="B69" s="4"/>
      <c r="C69" s="4"/>
      <c r="D69" s="4"/>
      <c r="E69" s="3"/>
      <c r="F69" s="4"/>
      <c r="G69" s="4"/>
      <c r="H69" s="4"/>
      <c r="I69" s="4"/>
      <c r="J69" s="4"/>
      <c r="K69" s="4"/>
      <c r="L69" s="4"/>
      <c r="M69" s="4"/>
      <c r="N69" s="5"/>
      <c r="O69" s="4"/>
      <c r="P69" s="4"/>
      <c r="Q69" s="4"/>
      <c r="R69" s="4"/>
      <c r="S69" s="4"/>
      <c r="T69" s="4"/>
      <c r="U69" s="4"/>
      <c r="V69" s="4"/>
      <c r="W69" s="4"/>
      <c r="X69" s="4"/>
      <c r="Y69" s="3"/>
      <c r="Z69" s="3"/>
      <c r="AA69" s="3"/>
      <c r="AB69" s="3"/>
      <c r="AC69" s="3"/>
      <c r="AD69" s="3"/>
      <c r="AZ69" s="3"/>
    </row>
    <row r="70" ht="15.75" customHeight="1">
      <c r="A70" s="4"/>
      <c r="B70" s="4"/>
      <c r="C70" s="4"/>
      <c r="D70" s="4"/>
      <c r="E70" s="3"/>
      <c r="F70" s="4"/>
      <c r="G70" s="4"/>
      <c r="H70" s="4"/>
      <c r="I70" s="4"/>
      <c r="J70" s="4"/>
      <c r="K70" s="4"/>
      <c r="L70" s="4"/>
      <c r="M70" s="4"/>
      <c r="N70" s="5"/>
      <c r="O70" s="4"/>
      <c r="P70" s="4"/>
      <c r="Q70" s="4"/>
      <c r="R70" s="4"/>
      <c r="S70" s="4"/>
      <c r="T70" s="4"/>
      <c r="U70" s="4"/>
      <c r="V70" s="4"/>
      <c r="W70" s="4"/>
      <c r="X70" s="4"/>
      <c r="Y70" s="3"/>
      <c r="Z70" s="3"/>
      <c r="AA70" s="3"/>
      <c r="AB70" s="3"/>
      <c r="AC70" s="3"/>
      <c r="AD70" s="3"/>
      <c r="AZ70" s="3"/>
    </row>
    <row r="71" ht="15.75" customHeight="1">
      <c r="A71" s="4"/>
      <c r="B71" s="4"/>
      <c r="C71" s="4"/>
      <c r="D71" s="4"/>
      <c r="E71" s="3"/>
      <c r="F71" s="4"/>
      <c r="G71" s="4"/>
      <c r="H71" s="4"/>
      <c r="I71" s="4"/>
      <c r="J71" s="4"/>
      <c r="K71" s="4"/>
      <c r="L71" s="4"/>
      <c r="M71" s="4"/>
      <c r="N71" s="5"/>
      <c r="O71" s="4"/>
      <c r="P71" s="4"/>
      <c r="Q71" s="4"/>
      <c r="R71" s="4"/>
      <c r="S71" s="4"/>
      <c r="T71" s="4"/>
      <c r="U71" s="4"/>
      <c r="V71" s="4"/>
      <c r="W71" s="4"/>
      <c r="X71" s="4"/>
      <c r="Y71" s="3"/>
      <c r="Z71" s="3"/>
      <c r="AA71" s="3"/>
      <c r="AB71" s="3"/>
      <c r="AC71" s="3"/>
      <c r="AD71" s="3"/>
      <c r="AZ71" s="3"/>
    </row>
    <row r="72" ht="15.75" customHeight="1">
      <c r="A72" s="4"/>
      <c r="B72" s="4"/>
      <c r="C72" s="4"/>
      <c r="D72" s="4"/>
      <c r="E72" s="3"/>
      <c r="F72" s="4"/>
      <c r="G72" s="4"/>
      <c r="H72" s="4"/>
      <c r="I72" s="4"/>
      <c r="J72" s="4"/>
      <c r="K72" s="4"/>
      <c r="L72" s="4"/>
      <c r="M72" s="4"/>
      <c r="N72" s="5"/>
      <c r="O72" s="4"/>
      <c r="P72" s="4"/>
      <c r="Q72" s="4"/>
      <c r="R72" s="4"/>
      <c r="S72" s="4"/>
      <c r="T72" s="4"/>
      <c r="U72" s="4"/>
      <c r="V72" s="4"/>
      <c r="W72" s="4"/>
      <c r="X72" s="4"/>
      <c r="Y72" s="3"/>
      <c r="Z72" s="3"/>
      <c r="AA72" s="3"/>
      <c r="AB72" s="3"/>
      <c r="AC72" s="3"/>
      <c r="AD72" s="3"/>
      <c r="AZ72" s="3"/>
    </row>
    <row r="73" ht="15.75" customHeight="1">
      <c r="A73" s="4"/>
      <c r="B73" s="4"/>
      <c r="C73" s="4"/>
      <c r="D73" s="4"/>
      <c r="E73" s="3"/>
      <c r="F73" s="4"/>
      <c r="G73" s="4"/>
      <c r="H73" s="4"/>
      <c r="I73" s="4"/>
      <c r="J73" s="4"/>
      <c r="K73" s="4"/>
      <c r="L73" s="4"/>
      <c r="M73" s="4"/>
      <c r="N73" s="5"/>
      <c r="O73" s="4"/>
      <c r="P73" s="4"/>
      <c r="Q73" s="4"/>
      <c r="R73" s="4"/>
      <c r="S73" s="4"/>
      <c r="T73" s="4"/>
      <c r="U73" s="4"/>
      <c r="V73" s="4"/>
      <c r="W73" s="4"/>
      <c r="X73" s="4"/>
      <c r="Y73" s="3"/>
      <c r="Z73" s="3"/>
      <c r="AA73" s="3"/>
      <c r="AB73" s="3"/>
      <c r="AC73" s="3"/>
      <c r="AD73" s="3"/>
      <c r="AZ73" s="3"/>
    </row>
    <row r="74" ht="15.75" customHeight="1">
      <c r="A74" s="4"/>
      <c r="B74" s="4"/>
      <c r="C74" s="4"/>
      <c r="D74" s="4"/>
      <c r="E74" s="3"/>
      <c r="F74" s="4"/>
      <c r="G74" s="4"/>
      <c r="H74" s="4"/>
      <c r="I74" s="4"/>
      <c r="J74" s="4"/>
      <c r="K74" s="4"/>
      <c r="L74" s="4"/>
      <c r="M74" s="4"/>
      <c r="N74" s="5"/>
      <c r="O74" s="4"/>
      <c r="P74" s="4"/>
      <c r="Q74" s="4"/>
      <c r="R74" s="4"/>
      <c r="S74" s="4"/>
      <c r="T74" s="4"/>
      <c r="U74" s="4"/>
      <c r="V74" s="4"/>
      <c r="W74" s="4"/>
      <c r="X74" s="4"/>
      <c r="Y74" s="3"/>
      <c r="Z74" s="3"/>
      <c r="AA74" s="3"/>
      <c r="AB74" s="3"/>
      <c r="AC74" s="3"/>
      <c r="AD74" s="3"/>
      <c r="AZ74" s="3"/>
    </row>
    <row r="75" ht="15.75" customHeight="1">
      <c r="A75" s="4"/>
      <c r="B75" s="4"/>
      <c r="C75" s="4"/>
      <c r="D75" s="4"/>
      <c r="E75" s="3"/>
      <c r="F75" s="4"/>
      <c r="G75" s="4"/>
      <c r="H75" s="4"/>
      <c r="I75" s="4"/>
      <c r="J75" s="4"/>
      <c r="K75" s="4"/>
      <c r="L75" s="4"/>
      <c r="M75" s="4"/>
      <c r="N75" s="5"/>
      <c r="O75" s="4"/>
      <c r="P75" s="4"/>
      <c r="Q75" s="4"/>
      <c r="R75" s="4"/>
      <c r="S75" s="4"/>
      <c r="T75" s="4"/>
      <c r="U75" s="4"/>
      <c r="V75" s="4"/>
      <c r="W75" s="4"/>
      <c r="X75" s="4"/>
      <c r="Y75" s="3"/>
      <c r="Z75" s="3"/>
      <c r="AA75" s="3"/>
      <c r="AB75" s="3"/>
      <c r="AC75" s="3"/>
      <c r="AD75" s="3"/>
      <c r="AZ75" s="3"/>
    </row>
    <row r="76" ht="15.75" customHeight="1">
      <c r="A76" s="4"/>
      <c r="B76" s="4"/>
      <c r="C76" s="4"/>
      <c r="D76" s="4"/>
      <c r="E76" s="3"/>
      <c r="F76" s="4"/>
      <c r="G76" s="4"/>
      <c r="H76" s="4"/>
      <c r="I76" s="4"/>
      <c r="J76" s="4"/>
      <c r="K76" s="4"/>
      <c r="L76" s="4"/>
      <c r="M76" s="4"/>
      <c r="N76" s="5"/>
      <c r="O76" s="4"/>
      <c r="P76" s="4"/>
      <c r="Q76" s="4"/>
      <c r="R76" s="4"/>
      <c r="S76" s="4"/>
      <c r="T76" s="4"/>
      <c r="U76" s="4"/>
      <c r="V76" s="4"/>
      <c r="W76" s="4"/>
      <c r="X76" s="4"/>
      <c r="Y76" s="3"/>
      <c r="Z76" s="3"/>
      <c r="AA76" s="3"/>
      <c r="AB76" s="3"/>
      <c r="AC76" s="3"/>
      <c r="AD76" s="3"/>
      <c r="AZ76" s="3"/>
    </row>
    <row r="77" ht="15.75" customHeight="1">
      <c r="A77" s="4"/>
      <c r="B77" s="4"/>
      <c r="C77" s="4"/>
      <c r="D77" s="4"/>
      <c r="E77" s="3"/>
      <c r="F77" s="4"/>
      <c r="G77" s="4"/>
      <c r="H77" s="4"/>
      <c r="I77" s="4"/>
      <c r="J77" s="4"/>
      <c r="K77" s="4"/>
      <c r="L77" s="4"/>
      <c r="M77" s="4"/>
      <c r="N77" s="5"/>
      <c r="O77" s="4"/>
      <c r="P77" s="4"/>
      <c r="Q77" s="4"/>
      <c r="R77" s="4"/>
      <c r="S77" s="4"/>
      <c r="T77" s="4"/>
      <c r="U77" s="4"/>
      <c r="V77" s="4"/>
      <c r="W77" s="4"/>
      <c r="X77" s="4"/>
      <c r="Y77" s="3"/>
      <c r="Z77" s="3"/>
      <c r="AA77" s="3"/>
      <c r="AB77" s="3"/>
      <c r="AC77" s="3"/>
      <c r="AD77" s="3"/>
      <c r="AZ77" s="3"/>
    </row>
    <row r="78" ht="15.75" customHeight="1">
      <c r="A78" s="4"/>
      <c r="B78" s="4"/>
      <c r="C78" s="4"/>
      <c r="D78" s="4"/>
      <c r="E78" s="3"/>
      <c r="F78" s="4"/>
      <c r="G78" s="4"/>
      <c r="H78" s="4"/>
      <c r="I78" s="4"/>
      <c r="J78" s="4"/>
      <c r="K78" s="4"/>
      <c r="L78" s="4"/>
      <c r="M78" s="4"/>
      <c r="N78" s="5"/>
      <c r="O78" s="4"/>
      <c r="P78" s="4"/>
      <c r="Q78" s="4"/>
      <c r="R78" s="4"/>
      <c r="S78" s="4"/>
      <c r="T78" s="4"/>
      <c r="U78" s="4"/>
      <c r="V78" s="4"/>
      <c r="W78" s="4"/>
      <c r="X78" s="4"/>
      <c r="Y78" s="3"/>
      <c r="Z78" s="3"/>
      <c r="AA78" s="3"/>
      <c r="AB78" s="3"/>
      <c r="AC78" s="3"/>
      <c r="AD78" s="3"/>
      <c r="AZ78" s="3"/>
    </row>
    <row r="79" ht="15.75" customHeight="1">
      <c r="A79" s="4"/>
      <c r="B79" s="4"/>
      <c r="C79" s="4"/>
      <c r="D79" s="4"/>
      <c r="E79" s="3"/>
      <c r="F79" s="4"/>
      <c r="G79" s="4"/>
      <c r="H79" s="4"/>
      <c r="I79" s="4"/>
      <c r="J79" s="4"/>
      <c r="K79" s="4"/>
      <c r="L79" s="4"/>
      <c r="M79" s="4"/>
      <c r="N79" s="5"/>
      <c r="O79" s="4"/>
      <c r="P79" s="4"/>
      <c r="Q79" s="4"/>
      <c r="R79" s="4"/>
      <c r="S79" s="4"/>
      <c r="T79" s="4"/>
      <c r="U79" s="4"/>
      <c r="V79" s="4"/>
      <c r="W79" s="4"/>
      <c r="X79" s="4"/>
      <c r="Y79" s="3"/>
      <c r="Z79" s="3"/>
      <c r="AA79" s="3"/>
      <c r="AB79" s="3"/>
      <c r="AC79" s="3"/>
      <c r="AD79" s="3"/>
      <c r="AZ79" s="3"/>
    </row>
    <row r="80" ht="15.75" customHeight="1">
      <c r="A80" s="4"/>
      <c r="B80" s="4"/>
      <c r="C80" s="4"/>
      <c r="D80" s="4"/>
      <c r="E80" s="3"/>
      <c r="F80" s="4"/>
      <c r="G80" s="4"/>
      <c r="H80" s="4"/>
      <c r="I80" s="4"/>
      <c r="J80" s="4"/>
      <c r="K80" s="4"/>
      <c r="L80" s="4"/>
      <c r="M80" s="4"/>
      <c r="N80" s="5"/>
      <c r="O80" s="4"/>
      <c r="P80" s="4"/>
      <c r="Q80" s="4"/>
      <c r="R80" s="4"/>
      <c r="S80" s="4"/>
      <c r="T80" s="4"/>
      <c r="U80" s="4"/>
      <c r="V80" s="4"/>
      <c r="W80" s="4"/>
      <c r="X80" s="4"/>
      <c r="Y80" s="3"/>
      <c r="Z80" s="3"/>
      <c r="AA80" s="3"/>
      <c r="AB80" s="3"/>
      <c r="AC80" s="3"/>
      <c r="AD80" s="3"/>
      <c r="AZ80" s="3"/>
    </row>
    <row r="81" ht="15.75" customHeight="1">
      <c r="A81" s="4"/>
      <c r="B81" s="4"/>
      <c r="C81" s="4"/>
      <c r="D81" s="4"/>
      <c r="E81" s="3"/>
      <c r="F81" s="4"/>
      <c r="G81" s="4"/>
      <c r="H81" s="4"/>
      <c r="I81" s="4"/>
      <c r="J81" s="4"/>
      <c r="K81" s="4"/>
      <c r="L81" s="4"/>
      <c r="M81" s="4"/>
      <c r="N81" s="5"/>
      <c r="O81" s="4"/>
      <c r="P81" s="4"/>
      <c r="Q81" s="4"/>
      <c r="R81" s="4"/>
      <c r="S81" s="4"/>
      <c r="T81" s="4"/>
      <c r="U81" s="4"/>
      <c r="V81" s="4"/>
      <c r="W81" s="4"/>
      <c r="X81" s="4"/>
      <c r="Y81" s="3"/>
      <c r="Z81" s="3"/>
      <c r="AA81" s="3"/>
      <c r="AB81" s="3"/>
      <c r="AC81" s="3"/>
      <c r="AD81" s="3"/>
      <c r="AZ81" s="3"/>
    </row>
    <row r="82" ht="15.75" customHeight="1">
      <c r="A82" s="4"/>
      <c r="B82" s="4"/>
      <c r="C82" s="4"/>
      <c r="D82" s="4"/>
      <c r="E82" s="3"/>
      <c r="F82" s="4"/>
      <c r="G82" s="4"/>
      <c r="H82" s="4"/>
      <c r="I82" s="4"/>
      <c r="J82" s="4"/>
      <c r="K82" s="4"/>
      <c r="L82" s="4"/>
      <c r="M82" s="4"/>
      <c r="N82" s="5"/>
      <c r="O82" s="4"/>
      <c r="P82" s="4"/>
      <c r="Q82" s="4"/>
      <c r="R82" s="4"/>
      <c r="S82" s="4"/>
      <c r="T82" s="4"/>
      <c r="U82" s="4"/>
      <c r="V82" s="4"/>
      <c r="W82" s="4"/>
      <c r="X82" s="4"/>
      <c r="Y82" s="3"/>
      <c r="Z82" s="3"/>
      <c r="AA82" s="3"/>
      <c r="AB82" s="3"/>
      <c r="AC82" s="3"/>
      <c r="AD82" s="3"/>
      <c r="AZ82" s="3"/>
    </row>
    <row r="83" ht="15.75" customHeight="1">
      <c r="A83" s="4"/>
      <c r="B83" s="4"/>
      <c r="C83" s="4"/>
      <c r="D83" s="4"/>
      <c r="E83" s="3"/>
      <c r="F83" s="4"/>
      <c r="G83" s="4"/>
      <c r="H83" s="4"/>
      <c r="I83" s="4"/>
      <c r="J83" s="4"/>
      <c r="K83" s="4"/>
      <c r="L83" s="4"/>
      <c r="M83" s="4"/>
      <c r="N83" s="5"/>
      <c r="O83" s="4"/>
      <c r="P83" s="4"/>
      <c r="Q83" s="4"/>
      <c r="R83" s="4"/>
      <c r="S83" s="4"/>
      <c r="T83" s="4"/>
      <c r="U83" s="4"/>
      <c r="V83" s="4"/>
      <c r="W83" s="4"/>
      <c r="X83" s="4"/>
      <c r="Y83" s="3"/>
      <c r="Z83" s="3"/>
      <c r="AA83" s="3"/>
      <c r="AB83" s="3"/>
      <c r="AC83" s="3"/>
      <c r="AD83" s="3"/>
      <c r="AZ83" s="3"/>
    </row>
    <row r="84" ht="15.75" customHeight="1">
      <c r="A84" s="4"/>
      <c r="B84" s="4"/>
      <c r="C84" s="4"/>
      <c r="D84" s="4"/>
      <c r="E84" s="3"/>
      <c r="F84" s="4"/>
      <c r="G84" s="4"/>
      <c r="H84" s="4"/>
      <c r="I84" s="4"/>
      <c r="J84" s="4"/>
      <c r="K84" s="4"/>
      <c r="L84" s="4"/>
      <c r="M84" s="4"/>
      <c r="N84" s="5"/>
      <c r="O84" s="4"/>
      <c r="P84" s="4"/>
      <c r="Q84" s="4"/>
      <c r="R84" s="4"/>
      <c r="S84" s="4"/>
      <c r="T84" s="4"/>
      <c r="U84" s="4"/>
      <c r="V84" s="4"/>
      <c r="W84" s="4"/>
      <c r="X84" s="4"/>
      <c r="Y84" s="3"/>
      <c r="Z84" s="3"/>
      <c r="AA84" s="3"/>
      <c r="AB84" s="3"/>
      <c r="AC84" s="3"/>
      <c r="AD84" s="3"/>
      <c r="AZ84" s="3"/>
    </row>
    <row r="85" ht="15.75" customHeight="1">
      <c r="A85" s="4"/>
      <c r="B85" s="4"/>
      <c r="C85" s="4"/>
      <c r="D85" s="4"/>
      <c r="E85" s="3"/>
      <c r="F85" s="4"/>
      <c r="G85" s="4"/>
      <c r="H85" s="4"/>
      <c r="I85" s="4"/>
      <c r="J85" s="4"/>
      <c r="K85" s="4"/>
      <c r="L85" s="4"/>
      <c r="M85" s="4"/>
      <c r="N85" s="5"/>
      <c r="O85" s="4"/>
      <c r="P85" s="4"/>
      <c r="Q85" s="4"/>
      <c r="R85" s="4"/>
      <c r="S85" s="4"/>
      <c r="T85" s="4"/>
      <c r="U85" s="4"/>
      <c r="V85" s="4"/>
      <c r="W85" s="4"/>
      <c r="X85" s="4"/>
      <c r="Y85" s="3"/>
      <c r="Z85" s="3"/>
      <c r="AA85" s="3"/>
      <c r="AB85" s="3"/>
      <c r="AC85" s="3"/>
      <c r="AD85" s="3"/>
      <c r="AZ85" s="3"/>
    </row>
    <row r="86" ht="15.75" customHeight="1">
      <c r="A86" s="4"/>
      <c r="B86" s="4"/>
      <c r="C86" s="4"/>
      <c r="D86" s="4"/>
      <c r="E86" s="3"/>
      <c r="F86" s="4"/>
      <c r="G86" s="4"/>
      <c r="H86" s="4"/>
      <c r="I86" s="4"/>
      <c r="J86" s="4"/>
      <c r="K86" s="4"/>
      <c r="L86" s="4"/>
      <c r="M86" s="4"/>
      <c r="N86" s="5"/>
      <c r="O86" s="4"/>
      <c r="P86" s="4"/>
      <c r="Q86" s="4"/>
      <c r="R86" s="4"/>
      <c r="S86" s="4"/>
      <c r="T86" s="4"/>
      <c r="U86" s="4"/>
      <c r="V86" s="4"/>
      <c r="W86" s="4"/>
      <c r="X86" s="4"/>
      <c r="Y86" s="3"/>
      <c r="Z86" s="3"/>
      <c r="AA86" s="3"/>
      <c r="AB86" s="3"/>
      <c r="AC86" s="3"/>
      <c r="AD86" s="3"/>
      <c r="AZ86" s="3"/>
    </row>
    <row r="87" ht="15.75" customHeight="1">
      <c r="A87" s="4"/>
      <c r="B87" s="4"/>
      <c r="C87" s="4"/>
      <c r="D87" s="4"/>
      <c r="E87" s="3"/>
      <c r="F87" s="4"/>
      <c r="G87" s="4"/>
      <c r="H87" s="4"/>
      <c r="I87" s="4"/>
      <c r="J87" s="4"/>
      <c r="K87" s="4"/>
      <c r="L87" s="4"/>
      <c r="M87" s="4"/>
      <c r="N87" s="5"/>
      <c r="O87" s="4"/>
      <c r="P87" s="4"/>
      <c r="Q87" s="4"/>
      <c r="R87" s="4"/>
      <c r="S87" s="4"/>
      <c r="T87" s="4"/>
      <c r="U87" s="4"/>
      <c r="V87" s="4"/>
      <c r="W87" s="4"/>
      <c r="X87" s="4"/>
      <c r="Y87" s="3"/>
      <c r="Z87" s="3"/>
      <c r="AA87" s="3"/>
      <c r="AB87" s="3"/>
      <c r="AC87" s="3"/>
      <c r="AD87" s="3"/>
      <c r="AZ87" s="3"/>
    </row>
    <row r="88" ht="15.75" customHeight="1">
      <c r="A88" s="4"/>
      <c r="B88" s="4"/>
      <c r="C88" s="4"/>
      <c r="D88" s="4"/>
      <c r="E88" s="3"/>
      <c r="F88" s="4"/>
      <c r="G88" s="4"/>
      <c r="H88" s="4"/>
      <c r="I88" s="4"/>
      <c r="J88" s="4"/>
      <c r="K88" s="4"/>
      <c r="L88" s="4"/>
      <c r="M88" s="4"/>
      <c r="N88" s="5"/>
      <c r="O88" s="4"/>
      <c r="P88" s="4"/>
      <c r="Q88" s="4"/>
      <c r="R88" s="4"/>
      <c r="S88" s="4"/>
      <c r="T88" s="4"/>
      <c r="U88" s="4"/>
      <c r="V88" s="4"/>
      <c r="W88" s="4"/>
      <c r="X88" s="4"/>
      <c r="Y88" s="3"/>
      <c r="Z88" s="3"/>
      <c r="AA88" s="3"/>
      <c r="AB88" s="3"/>
      <c r="AC88" s="3"/>
      <c r="AD88" s="3"/>
      <c r="AZ88" s="3"/>
    </row>
    <row r="89" ht="15.75" customHeight="1">
      <c r="A89" s="4"/>
      <c r="B89" s="4"/>
      <c r="C89" s="4"/>
      <c r="D89" s="4"/>
      <c r="E89" s="3"/>
      <c r="F89" s="4"/>
      <c r="G89" s="4"/>
      <c r="H89" s="4"/>
      <c r="I89" s="4"/>
      <c r="J89" s="4"/>
      <c r="K89" s="4"/>
      <c r="L89" s="4"/>
      <c r="M89" s="4"/>
      <c r="N89" s="5"/>
      <c r="O89" s="4"/>
      <c r="P89" s="4"/>
      <c r="Q89" s="4"/>
      <c r="R89" s="4"/>
      <c r="S89" s="4"/>
      <c r="T89" s="4"/>
      <c r="U89" s="4"/>
      <c r="V89" s="4"/>
      <c r="W89" s="4"/>
      <c r="X89" s="4"/>
      <c r="Y89" s="4"/>
      <c r="Z89" s="4"/>
      <c r="AA89" s="4"/>
      <c r="AB89" s="3"/>
      <c r="AC89" s="3"/>
      <c r="AD89" s="3"/>
      <c r="AZ89" s="3"/>
    </row>
    <row r="90" ht="15.75" customHeight="1">
      <c r="A90" s="4"/>
      <c r="B90" s="4"/>
      <c r="C90" s="4"/>
      <c r="D90" s="4"/>
      <c r="E90" s="3"/>
      <c r="F90" s="4"/>
      <c r="G90" s="4"/>
      <c r="H90" s="4"/>
      <c r="I90" s="4"/>
      <c r="J90" s="4"/>
      <c r="K90" s="4"/>
      <c r="L90" s="4"/>
      <c r="M90" s="4"/>
      <c r="N90" s="5"/>
      <c r="O90" s="4"/>
      <c r="P90" s="4"/>
      <c r="Q90" s="4"/>
      <c r="R90" s="4"/>
      <c r="S90" s="4"/>
      <c r="T90" s="4"/>
      <c r="U90" s="4"/>
      <c r="V90" s="4"/>
      <c r="W90" s="4"/>
      <c r="X90" s="4"/>
      <c r="Y90" s="4"/>
      <c r="Z90" s="4"/>
      <c r="AA90" s="4"/>
      <c r="AB90" s="3"/>
      <c r="AC90" s="3"/>
      <c r="AD90" s="3"/>
      <c r="AZ90" s="3"/>
    </row>
    <row r="91" ht="15.75" customHeight="1">
      <c r="A91" s="4"/>
      <c r="B91" s="4"/>
      <c r="C91" s="4"/>
      <c r="D91" s="4"/>
      <c r="E91" s="3"/>
      <c r="F91" s="4"/>
      <c r="G91" s="4"/>
      <c r="H91" s="4"/>
      <c r="I91" s="4"/>
      <c r="J91" s="4"/>
      <c r="K91" s="4"/>
      <c r="L91" s="4"/>
      <c r="M91" s="4"/>
      <c r="N91" s="5"/>
      <c r="O91" s="4"/>
      <c r="P91" s="4"/>
      <c r="Q91" s="4"/>
      <c r="R91" s="4"/>
      <c r="S91" s="4"/>
      <c r="T91" s="4"/>
      <c r="U91" s="4"/>
      <c r="V91" s="4"/>
      <c r="W91" s="4"/>
      <c r="X91" s="4"/>
      <c r="Y91" s="4"/>
      <c r="Z91" s="4"/>
      <c r="AA91" s="4"/>
      <c r="AB91" s="3"/>
      <c r="AC91" s="3"/>
      <c r="AD91" s="3"/>
      <c r="AZ91" s="3"/>
    </row>
    <row r="92" ht="15.75" customHeight="1">
      <c r="A92" s="4"/>
      <c r="B92" s="4"/>
      <c r="C92" s="4"/>
      <c r="D92" s="4"/>
      <c r="E92" s="3"/>
      <c r="F92" s="4"/>
      <c r="G92" s="4"/>
      <c r="H92" s="4"/>
      <c r="I92" s="4"/>
      <c r="J92" s="4"/>
      <c r="K92" s="4"/>
      <c r="L92" s="4"/>
      <c r="M92" s="4"/>
      <c r="N92" s="5"/>
      <c r="O92" s="4"/>
      <c r="P92" s="4"/>
      <c r="Q92" s="4"/>
      <c r="R92" s="4"/>
      <c r="S92" s="4"/>
      <c r="T92" s="4"/>
      <c r="U92" s="4"/>
      <c r="V92" s="4"/>
      <c r="W92" s="4"/>
      <c r="X92" s="4"/>
      <c r="Y92" s="4"/>
      <c r="Z92" s="4"/>
      <c r="AA92" s="4"/>
      <c r="AB92" s="3"/>
      <c r="AC92" s="3"/>
      <c r="AD92" s="3"/>
      <c r="AZ92" s="3"/>
    </row>
    <row r="93" ht="15.75" customHeight="1">
      <c r="A93" s="4"/>
      <c r="B93" s="4"/>
      <c r="C93" s="4"/>
      <c r="D93" s="4"/>
      <c r="E93" s="3"/>
      <c r="F93" s="4"/>
      <c r="G93" s="4"/>
      <c r="H93" s="4"/>
      <c r="I93" s="4"/>
      <c r="J93" s="4"/>
      <c r="K93" s="4"/>
      <c r="L93" s="4"/>
      <c r="M93" s="4"/>
      <c r="N93" s="5"/>
      <c r="O93" s="4"/>
      <c r="P93" s="4"/>
      <c r="Q93" s="4"/>
      <c r="R93" s="4"/>
      <c r="S93" s="4"/>
      <c r="T93" s="4"/>
      <c r="U93" s="4"/>
      <c r="V93" s="4"/>
      <c r="W93" s="4"/>
      <c r="X93" s="4"/>
      <c r="Y93" s="4"/>
      <c r="Z93" s="4"/>
      <c r="AA93" s="4"/>
      <c r="AB93" s="3"/>
      <c r="AC93" s="3"/>
      <c r="AD93" s="3"/>
      <c r="AZ93" s="3"/>
    </row>
    <row r="94" ht="15.75" customHeight="1">
      <c r="A94" s="4"/>
      <c r="B94" s="4"/>
      <c r="C94" s="4"/>
      <c r="D94" s="4"/>
      <c r="E94" s="3"/>
      <c r="F94" s="4"/>
      <c r="G94" s="4"/>
      <c r="H94" s="4"/>
      <c r="I94" s="4"/>
      <c r="J94" s="4"/>
      <c r="K94" s="4"/>
      <c r="L94" s="4"/>
      <c r="M94" s="4"/>
      <c r="N94" s="5"/>
      <c r="O94" s="4"/>
      <c r="P94" s="4"/>
      <c r="Q94" s="4"/>
      <c r="R94" s="4"/>
      <c r="S94" s="4"/>
      <c r="T94" s="4"/>
      <c r="U94" s="4"/>
      <c r="V94" s="4"/>
      <c r="W94" s="4"/>
      <c r="X94" s="4"/>
      <c r="Y94" s="4"/>
      <c r="Z94" s="4"/>
      <c r="AA94" s="4"/>
      <c r="AB94" s="3"/>
      <c r="AC94" s="3"/>
      <c r="AD94" s="3"/>
      <c r="AZ94" s="3"/>
    </row>
    <row r="95" ht="15.75" customHeight="1">
      <c r="A95" s="4"/>
      <c r="B95" s="4"/>
      <c r="C95" s="4"/>
      <c r="D95" s="4"/>
      <c r="E95" s="3"/>
      <c r="F95" s="4"/>
      <c r="G95" s="4"/>
      <c r="H95" s="4"/>
      <c r="I95" s="4"/>
      <c r="J95" s="4"/>
      <c r="K95" s="4"/>
      <c r="L95" s="4"/>
      <c r="M95" s="4"/>
      <c r="N95" s="5"/>
      <c r="O95" s="4"/>
      <c r="P95" s="4"/>
      <c r="Q95" s="4"/>
      <c r="R95" s="4"/>
      <c r="S95" s="4"/>
      <c r="T95" s="4"/>
      <c r="U95" s="4"/>
      <c r="V95" s="4"/>
      <c r="W95" s="4"/>
      <c r="X95" s="4"/>
      <c r="Y95" s="4"/>
      <c r="Z95" s="4"/>
      <c r="AA95" s="4"/>
      <c r="AB95" s="3"/>
      <c r="AC95" s="3"/>
      <c r="AD95" s="3"/>
      <c r="AZ95" s="3"/>
    </row>
    <row r="96" ht="15.75" customHeight="1">
      <c r="A96" s="4"/>
      <c r="B96" s="4"/>
      <c r="C96" s="4"/>
      <c r="D96" s="4"/>
      <c r="E96" s="3"/>
      <c r="F96" s="4"/>
      <c r="G96" s="4"/>
      <c r="H96" s="4"/>
      <c r="I96" s="4"/>
      <c r="J96" s="4"/>
      <c r="K96" s="4"/>
      <c r="L96" s="4"/>
      <c r="M96" s="4"/>
      <c r="N96" s="5"/>
      <c r="O96" s="4"/>
      <c r="P96" s="4"/>
      <c r="Q96" s="4"/>
      <c r="R96" s="4"/>
      <c r="S96" s="4"/>
      <c r="T96" s="4"/>
      <c r="U96" s="4"/>
      <c r="V96" s="4"/>
      <c r="W96" s="4"/>
      <c r="X96" s="4"/>
      <c r="Y96" s="4"/>
      <c r="Z96" s="4"/>
      <c r="AA96" s="4"/>
      <c r="AB96" s="3"/>
      <c r="AC96" s="3"/>
      <c r="AD96" s="3"/>
      <c r="AZ96" s="3"/>
    </row>
    <row r="97" ht="15.75" customHeight="1">
      <c r="A97" s="4"/>
      <c r="B97" s="4"/>
      <c r="C97" s="4"/>
      <c r="D97" s="4"/>
      <c r="E97" s="3"/>
      <c r="F97" s="4"/>
      <c r="G97" s="4"/>
      <c r="H97" s="4"/>
      <c r="I97" s="4"/>
      <c r="J97" s="4"/>
      <c r="K97" s="4"/>
      <c r="L97" s="4"/>
      <c r="M97" s="4"/>
      <c r="N97" s="5"/>
      <c r="O97" s="4"/>
      <c r="P97" s="4"/>
      <c r="Q97" s="4"/>
      <c r="R97" s="4"/>
      <c r="S97" s="4"/>
      <c r="T97" s="4"/>
      <c r="U97" s="4"/>
      <c r="V97" s="4"/>
      <c r="W97" s="4"/>
      <c r="X97" s="4"/>
      <c r="Y97" s="4"/>
      <c r="Z97" s="4"/>
      <c r="AA97" s="4"/>
      <c r="AB97" s="3"/>
      <c r="AC97" s="3"/>
      <c r="AD97" s="3"/>
      <c r="AZ97" s="3"/>
    </row>
    <row r="98" ht="15.75" customHeight="1">
      <c r="A98" s="4"/>
      <c r="B98" s="4"/>
      <c r="C98" s="4"/>
      <c r="D98" s="4"/>
      <c r="E98" s="3"/>
      <c r="F98" s="4"/>
      <c r="G98" s="4"/>
      <c r="H98" s="4"/>
      <c r="I98" s="4"/>
      <c r="J98" s="4"/>
      <c r="K98" s="4"/>
      <c r="L98" s="4"/>
      <c r="M98" s="4"/>
      <c r="N98" s="5"/>
      <c r="O98" s="4"/>
      <c r="P98" s="4"/>
      <c r="Q98" s="4"/>
      <c r="R98" s="4"/>
      <c r="S98" s="4"/>
      <c r="T98" s="4"/>
      <c r="U98" s="4"/>
      <c r="V98" s="4"/>
      <c r="W98" s="4"/>
      <c r="X98" s="4"/>
      <c r="Y98" s="4"/>
      <c r="Z98" s="4"/>
      <c r="AA98" s="4"/>
      <c r="AB98" s="3"/>
      <c r="AC98" s="3"/>
      <c r="AD98" s="3"/>
      <c r="AZ98" s="3"/>
    </row>
    <row r="99" ht="15.75" customHeight="1">
      <c r="A99" s="4"/>
      <c r="B99" s="4"/>
      <c r="C99" s="4"/>
      <c r="D99" s="4"/>
      <c r="E99" s="3"/>
      <c r="F99" s="4"/>
      <c r="G99" s="4"/>
      <c r="H99" s="4"/>
      <c r="I99" s="4"/>
      <c r="J99" s="4"/>
      <c r="K99" s="4"/>
      <c r="L99" s="4"/>
      <c r="M99" s="4"/>
      <c r="N99" s="5"/>
      <c r="O99" s="4"/>
      <c r="P99" s="4"/>
      <c r="Q99" s="4"/>
      <c r="R99" s="4"/>
      <c r="S99" s="4"/>
      <c r="T99" s="4"/>
      <c r="U99" s="4"/>
      <c r="V99" s="4"/>
      <c r="W99" s="4"/>
      <c r="X99" s="4"/>
      <c r="Y99" s="4"/>
      <c r="Z99" s="4"/>
      <c r="AA99" s="4"/>
      <c r="AB99" s="3"/>
      <c r="AC99" s="3"/>
      <c r="AD99" s="3"/>
      <c r="AZ99" s="3"/>
    </row>
    <row r="100" ht="15.75" customHeight="1">
      <c r="A100" s="4"/>
      <c r="B100" s="4"/>
      <c r="C100" s="4"/>
      <c r="D100" s="4"/>
      <c r="E100" s="3"/>
      <c r="F100" s="4"/>
      <c r="G100" s="4"/>
      <c r="H100" s="4"/>
      <c r="I100" s="4"/>
      <c r="J100" s="4"/>
      <c r="K100" s="4"/>
      <c r="L100" s="4"/>
      <c r="M100" s="4"/>
      <c r="N100" s="5"/>
      <c r="O100" s="4"/>
      <c r="P100" s="4"/>
      <c r="Q100" s="4"/>
      <c r="R100" s="4"/>
      <c r="S100" s="4"/>
      <c r="T100" s="4"/>
      <c r="U100" s="4"/>
      <c r="V100" s="4"/>
      <c r="W100" s="4"/>
      <c r="X100" s="4"/>
      <c r="Y100" s="4"/>
      <c r="Z100" s="4"/>
      <c r="AA100" s="4"/>
      <c r="AB100" s="3"/>
      <c r="AC100" s="3"/>
      <c r="AD100" s="3"/>
      <c r="AZ100" s="3"/>
    </row>
    <row r="101" ht="15.75" customHeight="1">
      <c r="A101" s="4"/>
      <c r="B101" s="4"/>
      <c r="C101" s="4"/>
      <c r="D101" s="4"/>
      <c r="E101" s="3"/>
      <c r="F101" s="4"/>
      <c r="G101" s="4"/>
      <c r="H101" s="4"/>
      <c r="I101" s="4"/>
      <c r="J101" s="4"/>
      <c r="K101" s="4"/>
      <c r="L101" s="4"/>
      <c r="M101" s="4"/>
      <c r="N101" s="5"/>
      <c r="O101" s="4"/>
      <c r="P101" s="4"/>
      <c r="Q101" s="4"/>
      <c r="R101" s="4"/>
      <c r="S101" s="4"/>
      <c r="T101" s="4"/>
      <c r="U101" s="4"/>
      <c r="V101" s="4"/>
      <c r="W101" s="4"/>
      <c r="X101" s="4"/>
      <c r="Y101" s="4"/>
      <c r="Z101" s="4"/>
      <c r="AA101" s="4"/>
      <c r="AB101" s="3"/>
      <c r="AC101" s="3"/>
      <c r="AD101" s="3"/>
      <c r="AZ101" s="3"/>
    </row>
    <row r="102" ht="15.75" customHeight="1">
      <c r="A102" s="4"/>
      <c r="B102" s="4"/>
      <c r="C102" s="4"/>
      <c r="D102" s="4"/>
      <c r="E102" s="3"/>
      <c r="F102" s="4"/>
      <c r="G102" s="4"/>
      <c r="H102" s="4"/>
      <c r="I102" s="4"/>
      <c r="J102" s="4"/>
      <c r="K102" s="4"/>
      <c r="L102" s="4"/>
      <c r="M102" s="4"/>
      <c r="N102" s="5"/>
      <c r="O102" s="4"/>
      <c r="P102" s="4"/>
      <c r="Q102" s="4"/>
      <c r="R102" s="4"/>
      <c r="S102" s="4"/>
      <c r="T102" s="4"/>
      <c r="U102" s="4"/>
      <c r="V102" s="4"/>
      <c r="W102" s="4"/>
      <c r="X102" s="4"/>
      <c r="Y102" s="4"/>
      <c r="Z102" s="4"/>
      <c r="AA102" s="4"/>
      <c r="AB102" s="3"/>
      <c r="AC102" s="3"/>
      <c r="AD102" s="3"/>
      <c r="AZ102" s="3"/>
    </row>
    <row r="103" ht="15.75" customHeight="1">
      <c r="A103" s="4"/>
      <c r="B103" s="4"/>
      <c r="C103" s="4"/>
      <c r="D103" s="4"/>
      <c r="E103" s="3"/>
      <c r="F103" s="4"/>
      <c r="G103" s="4"/>
      <c r="H103" s="4"/>
      <c r="I103" s="4"/>
      <c r="J103" s="4"/>
      <c r="K103" s="4"/>
      <c r="L103" s="4"/>
      <c r="M103" s="4"/>
      <c r="N103" s="5"/>
      <c r="O103" s="4"/>
      <c r="P103" s="4"/>
      <c r="Q103" s="4"/>
      <c r="R103" s="4"/>
      <c r="S103" s="4"/>
      <c r="T103" s="4"/>
      <c r="U103" s="4"/>
      <c r="V103" s="4"/>
      <c r="W103" s="4"/>
      <c r="X103" s="4"/>
      <c r="Y103" s="4"/>
      <c r="Z103" s="4"/>
      <c r="AA103" s="4"/>
      <c r="AB103" s="3"/>
      <c r="AC103" s="3"/>
      <c r="AD103" s="3"/>
      <c r="AZ103" s="3"/>
    </row>
    <row r="104" ht="15.75" customHeight="1">
      <c r="A104" s="4"/>
      <c r="B104" s="4"/>
      <c r="C104" s="4"/>
      <c r="D104" s="4"/>
      <c r="E104" s="3"/>
      <c r="F104" s="4"/>
      <c r="G104" s="4"/>
      <c r="H104" s="4"/>
      <c r="I104" s="4"/>
      <c r="J104" s="4"/>
      <c r="K104" s="4"/>
      <c r="L104" s="4"/>
      <c r="M104" s="4"/>
      <c r="N104" s="5"/>
      <c r="O104" s="4"/>
      <c r="P104" s="4"/>
      <c r="Q104" s="4"/>
      <c r="R104" s="4"/>
      <c r="S104" s="4"/>
      <c r="T104" s="4"/>
      <c r="U104" s="4"/>
      <c r="V104" s="4"/>
      <c r="W104" s="4"/>
      <c r="X104" s="4"/>
      <c r="Y104" s="4"/>
      <c r="Z104" s="4"/>
      <c r="AA104" s="4"/>
      <c r="AB104" s="3"/>
      <c r="AC104" s="3"/>
      <c r="AD104" s="3"/>
      <c r="AZ104" s="3"/>
    </row>
    <row r="105" ht="15.75" customHeight="1">
      <c r="A105" s="4"/>
      <c r="B105" s="4"/>
      <c r="C105" s="4"/>
      <c r="D105" s="4"/>
      <c r="E105" s="3"/>
      <c r="F105" s="4"/>
      <c r="G105" s="4"/>
      <c r="H105" s="4"/>
      <c r="I105" s="4"/>
      <c r="J105" s="4"/>
      <c r="K105" s="4"/>
      <c r="L105" s="4"/>
      <c r="M105" s="4"/>
      <c r="N105" s="5"/>
      <c r="O105" s="4"/>
      <c r="P105" s="4"/>
      <c r="Q105" s="4"/>
      <c r="R105" s="4"/>
      <c r="S105" s="4"/>
      <c r="T105" s="4"/>
      <c r="U105" s="4"/>
      <c r="V105" s="4"/>
      <c r="W105" s="4"/>
      <c r="X105" s="4"/>
      <c r="Y105" s="4"/>
      <c r="Z105" s="4"/>
      <c r="AA105" s="4"/>
      <c r="AB105" s="3"/>
      <c r="AC105" s="3"/>
      <c r="AD105" s="3"/>
      <c r="AZ105" s="3"/>
    </row>
    <row r="106" ht="15.75" customHeight="1">
      <c r="A106" s="4"/>
      <c r="B106" s="4"/>
      <c r="C106" s="4"/>
      <c r="D106" s="4"/>
      <c r="E106" s="3"/>
      <c r="F106" s="4"/>
      <c r="G106" s="4"/>
      <c r="H106" s="4"/>
      <c r="I106" s="4"/>
      <c r="J106" s="4"/>
      <c r="K106" s="4"/>
      <c r="L106" s="4"/>
      <c r="M106" s="4"/>
      <c r="N106" s="5"/>
      <c r="O106" s="4"/>
      <c r="P106" s="4"/>
      <c r="Q106" s="4"/>
      <c r="R106" s="4"/>
      <c r="S106" s="4"/>
      <c r="T106" s="4"/>
      <c r="U106" s="4"/>
      <c r="V106" s="4"/>
      <c r="W106" s="4"/>
      <c r="X106" s="4"/>
      <c r="Y106" s="4"/>
      <c r="Z106" s="4"/>
      <c r="AA106" s="4"/>
      <c r="AB106" s="3"/>
      <c r="AC106" s="3"/>
      <c r="AD106" s="3"/>
      <c r="AZ106" s="3"/>
    </row>
    <row r="107" ht="15.75" customHeight="1">
      <c r="A107" s="4"/>
      <c r="B107" s="4"/>
      <c r="C107" s="4"/>
      <c r="D107" s="4"/>
      <c r="E107" s="3"/>
      <c r="F107" s="4"/>
      <c r="G107" s="4"/>
      <c r="H107" s="4"/>
      <c r="I107" s="4"/>
      <c r="J107" s="4"/>
      <c r="K107" s="4"/>
      <c r="L107" s="4"/>
      <c r="M107" s="4"/>
      <c r="N107" s="5"/>
      <c r="O107" s="4"/>
      <c r="P107" s="4"/>
      <c r="Q107" s="4"/>
      <c r="R107" s="4"/>
      <c r="S107" s="4"/>
      <c r="T107" s="4"/>
      <c r="U107" s="4"/>
      <c r="V107" s="4"/>
      <c r="W107" s="4"/>
      <c r="X107" s="4"/>
      <c r="Y107" s="4"/>
      <c r="Z107" s="4"/>
      <c r="AA107" s="4"/>
      <c r="AB107" s="3"/>
      <c r="AC107" s="3"/>
      <c r="AD107" s="3"/>
      <c r="AZ107" s="3"/>
    </row>
    <row r="108" ht="15.75" customHeight="1">
      <c r="A108" s="4"/>
      <c r="B108" s="4"/>
      <c r="C108" s="4"/>
      <c r="D108" s="4"/>
      <c r="E108" s="3"/>
      <c r="F108" s="4"/>
      <c r="G108" s="4"/>
      <c r="H108" s="4"/>
      <c r="I108" s="4"/>
      <c r="J108" s="4"/>
      <c r="K108" s="4"/>
      <c r="L108" s="4"/>
      <c r="M108" s="4"/>
      <c r="N108" s="5"/>
      <c r="O108" s="4"/>
      <c r="P108" s="4"/>
      <c r="Q108" s="4"/>
      <c r="R108" s="4"/>
      <c r="S108" s="4"/>
      <c r="T108" s="4"/>
      <c r="U108" s="4"/>
      <c r="V108" s="4"/>
      <c r="W108" s="4"/>
      <c r="X108" s="4"/>
      <c r="Y108" s="4"/>
      <c r="Z108" s="4"/>
      <c r="AA108" s="4"/>
      <c r="AB108" s="3"/>
      <c r="AC108" s="3"/>
      <c r="AD108" s="3"/>
      <c r="AZ108" s="3"/>
    </row>
    <row r="109" ht="15.75" customHeight="1">
      <c r="A109" s="4"/>
      <c r="B109" s="4"/>
      <c r="C109" s="4"/>
      <c r="D109" s="4"/>
      <c r="E109" s="3"/>
      <c r="F109" s="4"/>
      <c r="G109" s="4"/>
      <c r="H109" s="4"/>
      <c r="I109" s="4"/>
      <c r="J109" s="4"/>
      <c r="K109" s="4"/>
      <c r="L109" s="4"/>
      <c r="M109" s="4"/>
      <c r="N109" s="5"/>
      <c r="O109" s="4"/>
      <c r="P109" s="4"/>
      <c r="Q109" s="4"/>
      <c r="R109" s="4"/>
      <c r="S109" s="4"/>
      <c r="T109" s="4"/>
      <c r="U109" s="4"/>
      <c r="V109" s="4"/>
      <c r="W109" s="4"/>
      <c r="X109" s="4"/>
      <c r="Y109" s="4"/>
      <c r="Z109" s="4"/>
      <c r="AA109" s="4"/>
      <c r="AB109" s="3"/>
      <c r="AC109" s="3"/>
      <c r="AD109" s="3"/>
      <c r="AZ109" s="3"/>
    </row>
    <row r="110" ht="15.75" customHeight="1">
      <c r="A110" s="4"/>
      <c r="B110" s="4"/>
      <c r="C110" s="4"/>
      <c r="D110" s="4"/>
      <c r="E110" s="3"/>
      <c r="F110" s="4"/>
      <c r="G110" s="4"/>
      <c r="H110" s="4"/>
      <c r="I110" s="4"/>
      <c r="J110" s="4"/>
      <c r="K110" s="4"/>
      <c r="L110" s="4"/>
      <c r="M110" s="4"/>
      <c r="N110" s="5"/>
      <c r="O110" s="4"/>
      <c r="P110" s="4"/>
      <c r="Q110" s="4"/>
      <c r="R110" s="4"/>
      <c r="S110" s="4"/>
      <c r="T110" s="4"/>
      <c r="U110" s="4"/>
      <c r="V110" s="4"/>
      <c r="W110" s="4"/>
      <c r="X110" s="4"/>
      <c r="Y110" s="4"/>
      <c r="Z110" s="4"/>
      <c r="AA110" s="4"/>
      <c r="AB110" s="3"/>
      <c r="AC110" s="3"/>
      <c r="AD110" s="3"/>
      <c r="AZ110" s="3"/>
    </row>
    <row r="111" ht="15.75" customHeight="1">
      <c r="A111" s="4"/>
      <c r="B111" s="4"/>
      <c r="C111" s="4"/>
      <c r="D111" s="4"/>
      <c r="E111" s="3"/>
      <c r="F111" s="4"/>
      <c r="G111" s="4"/>
      <c r="H111" s="4"/>
      <c r="I111" s="4"/>
      <c r="J111" s="4"/>
      <c r="K111" s="4"/>
      <c r="L111" s="4"/>
      <c r="M111" s="4"/>
      <c r="N111" s="5"/>
      <c r="O111" s="4"/>
      <c r="P111" s="4"/>
      <c r="Q111" s="4"/>
      <c r="R111" s="4"/>
      <c r="S111" s="4"/>
      <c r="T111" s="4"/>
      <c r="U111" s="4"/>
      <c r="V111" s="4"/>
      <c r="W111" s="4"/>
      <c r="X111" s="4"/>
      <c r="Y111" s="4"/>
      <c r="Z111" s="4"/>
      <c r="AA111" s="4"/>
      <c r="AB111" s="3"/>
      <c r="AC111" s="3"/>
      <c r="AD111" s="3"/>
      <c r="AZ111" s="3"/>
    </row>
    <row r="112" ht="15.75" customHeight="1">
      <c r="A112" s="4"/>
      <c r="B112" s="4"/>
      <c r="C112" s="4"/>
      <c r="D112" s="4"/>
      <c r="E112" s="3"/>
      <c r="F112" s="4"/>
      <c r="G112" s="4"/>
      <c r="H112" s="4"/>
      <c r="I112" s="4"/>
      <c r="J112" s="4"/>
      <c r="K112" s="4"/>
      <c r="L112" s="4"/>
      <c r="M112" s="4"/>
      <c r="N112" s="5"/>
      <c r="O112" s="4"/>
      <c r="P112" s="4"/>
      <c r="Q112" s="4"/>
      <c r="R112" s="4"/>
      <c r="S112" s="4"/>
      <c r="T112" s="4"/>
      <c r="U112" s="4"/>
      <c r="V112" s="4"/>
      <c r="W112" s="4"/>
      <c r="X112" s="4"/>
      <c r="Y112" s="4"/>
      <c r="Z112" s="4"/>
      <c r="AA112" s="4"/>
      <c r="AB112" s="3"/>
      <c r="AC112" s="3"/>
      <c r="AD112" s="3"/>
      <c r="AZ112" s="3"/>
    </row>
    <row r="113" ht="15.75" customHeight="1">
      <c r="A113" s="4"/>
      <c r="B113" s="4"/>
      <c r="C113" s="4"/>
      <c r="D113" s="4"/>
      <c r="E113" s="3"/>
      <c r="F113" s="4"/>
      <c r="G113" s="4"/>
      <c r="H113" s="4"/>
      <c r="I113" s="4"/>
      <c r="J113" s="4"/>
      <c r="K113" s="4"/>
      <c r="L113" s="4"/>
      <c r="M113" s="4"/>
      <c r="N113" s="5"/>
      <c r="O113" s="4"/>
      <c r="P113" s="4"/>
      <c r="Q113" s="4"/>
      <c r="R113" s="4"/>
      <c r="S113" s="4"/>
      <c r="T113" s="4"/>
      <c r="U113" s="4"/>
      <c r="V113" s="4"/>
      <c r="W113" s="4"/>
      <c r="X113" s="4"/>
      <c r="Y113" s="4"/>
      <c r="Z113" s="4"/>
      <c r="AA113" s="4"/>
      <c r="AB113" s="3"/>
      <c r="AC113" s="3"/>
      <c r="AD113" s="3"/>
      <c r="AZ113" s="3"/>
    </row>
    <row r="114" ht="15.75" customHeight="1">
      <c r="A114" s="4"/>
      <c r="B114" s="4"/>
      <c r="C114" s="4"/>
      <c r="D114" s="4"/>
      <c r="E114" s="3"/>
      <c r="F114" s="4"/>
      <c r="G114" s="4"/>
      <c r="H114" s="4"/>
      <c r="I114" s="4"/>
      <c r="J114" s="4"/>
      <c r="K114" s="4"/>
      <c r="L114" s="4"/>
      <c r="M114" s="4"/>
      <c r="N114" s="5"/>
      <c r="O114" s="4"/>
      <c r="P114" s="4"/>
      <c r="Q114" s="4"/>
      <c r="R114" s="4"/>
      <c r="S114" s="4"/>
      <c r="T114" s="4"/>
      <c r="U114" s="4"/>
      <c r="V114" s="4"/>
      <c r="W114" s="4"/>
      <c r="X114" s="4"/>
      <c r="Y114" s="4"/>
      <c r="Z114" s="4"/>
      <c r="AA114" s="4"/>
      <c r="AB114" s="3"/>
      <c r="AC114" s="3"/>
      <c r="AD114" s="3"/>
      <c r="AZ114" s="3"/>
    </row>
    <row r="115" ht="15.75" customHeight="1">
      <c r="A115" s="4"/>
      <c r="B115" s="4"/>
      <c r="C115" s="4"/>
      <c r="D115" s="4"/>
      <c r="E115" s="3"/>
      <c r="F115" s="4"/>
      <c r="G115" s="4"/>
      <c r="H115" s="4"/>
      <c r="I115" s="4"/>
      <c r="J115" s="4"/>
      <c r="K115" s="4"/>
      <c r="L115" s="4"/>
      <c r="M115" s="4"/>
      <c r="N115" s="5"/>
      <c r="O115" s="4"/>
      <c r="P115" s="4"/>
      <c r="Q115" s="4"/>
      <c r="R115" s="4"/>
      <c r="S115" s="4"/>
      <c r="T115" s="4"/>
      <c r="U115" s="4"/>
      <c r="V115" s="4"/>
      <c r="W115" s="4"/>
      <c r="X115" s="4"/>
      <c r="Y115" s="4"/>
      <c r="Z115" s="4"/>
      <c r="AA115" s="4"/>
      <c r="AB115" s="3"/>
      <c r="AC115" s="3"/>
      <c r="AD115" s="3"/>
      <c r="AZ115" s="3"/>
    </row>
    <row r="116" ht="15.75" customHeight="1">
      <c r="A116" s="4"/>
      <c r="B116" s="4"/>
      <c r="C116" s="4"/>
      <c r="D116" s="4"/>
      <c r="E116" s="3"/>
      <c r="F116" s="4"/>
      <c r="G116" s="4"/>
      <c r="H116" s="4"/>
      <c r="I116" s="4"/>
      <c r="J116" s="4"/>
      <c r="K116" s="4"/>
      <c r="L116" s="4"/>
      <c r="M116" s="4"/>
      <c r="N116" s="5"/>
      <c r="O116" s="4"/>
      <c r="P116" s="4"/>
      <c r="Q116" s="4"/>
      <c r="R116" s="4"/>
      <c r="S116" s="4"/>
      <c r="T116" s="4"/>
      <c r="U116" s="4"/>
      <c r="V116" s="4"/>
      <c r="W116" s="4"/>
      <c r="X116" s="4"/>
      <c r="Y116" s="4"/>
      <c r="Z116" s="4"/>
      <c r="AA116" s="4"/>
      <c r="AB116" s="3"/>
      <c r="AC116" s="3"/>
      <c r="AD116" s="3"/>
      <c r="AZ116" s="3"/>
    </row>
    <row r="117" ht="15.75" customHeight="1">
      <c r="A117" s="4"/>
      <c r="B117" s="4"/>
      <c r="C117" s="4"/>
      <c r="D117" s="4"/>
      <c r="E117" s="3"/>
      <c r="F117" s="4"/>
      <c r="G117" s="4"/>
      <c r="H117" s="4"/>
      <c r="I117" s="4"/>
      <c r="J117" s="4"/>
      <c r="K117" s="4"/>
      <c r="L117" s="4"/>
      <c r="M117" s="4"/>
      <c r="N117" s="5"/>
      <c r="O117" s="4"/>
      <c r="P117" s="4"/>
      <c r="Q117" s="4"/>
      <c r="R117" s="4"/>
      <c r="S117" s="4"/>
      <c r="T117" s="4"/>
      <c r="U117" s="4"/>
      <c r="V117" s="4"/>
      <c r="W117" s="4"/>
      <c r="X117" s="4"/>
      <c r="Y117" s="4"/>
      <c r="Z117" s="4"/>
      <c r="AA117" s="4"/>
      <c r="AB117" s="3"/>
      <c r="AC117" s="3"/>
      <c r="AD117" s="3"/>
      <c r="AZ117" s="3"/>
    </row>
    <row r="118" ht="15.75" customHeight="1">
      <c r="A118" s="4"/>
      <c r="B118" s="4"/>
      <c r="C118" s="4"/>
      <c r="D118" s="4"/>
      <c r="E118" s="3"/>
      <c r="F118" s="4"/>
      <c r="G118" s="4"/>
      <c r="H118" s="4"/>
      <c r="I118" s="4"/>
      <c r="J118" s="4"/>
      <c r="K118" s="4"/>
      <c r="L118" s="4"/>
      <c r="M118" s="4"/>
      <c r="N118" s="5"/>
      <c r="O118" s="4"/>
      <c r="P118" s="4"/>
      <c r="Q118" s="4"/>
      <c r="R118" s="4"/>
      <c r="S118" s="4"/>
      <c r="T118" s="4"/>
      <c r="U118" s="4"/>
      <c r="V118" s="4"/>
      <c r="W118" s="4"/>
      <c r="X118" s="4"/>
      <c r="Y118" s="4"/>
      <c r="Z118" s="4"/>
      <c r="AA118" s="4"/>
      <c r="AB118" s="3"/>
      <c r="AC118" s="3"/>
      <c r="AD118" s="3"/>
      <c r="AZ118" s="3"/>
    </row>
    <row r="119" ht="15.75" customHeight="1">
      <c r="A119" s="4"/>
      <c r="B119" s="4"/>
      <c r="C119" s="4"/>
      <c r="D119" s="4"/>
      <c r="E119" s="3"/>
      <c r="F119" s="4"/>
      <c r="G119" s="4"/>
      <c r="H119" s="4"/>
      <c r="I119" s="4"/>
      <c r="J119" s="4"/>
      <c r="K119" s="4"/>
      <c r="L119" s="4"/>
      <c r="M119" s="4"/>
      <c r="N119" s="5"/>
      <c r="O119" s="4"/>
      <c r="P119" s="4"/>
      <c r="Q119" s="4"/>
      <c r="R119" s="4"/>
      <c r="S119" s="4"/>
      <c r="T119" s="4"/>
      <c r="U119" s="4"/>
      <c r="V119" s="4"/>
      <c r="W119" s="4"/>
      <c r="X119" s="4"/>
      <c r="Y119" s="4"/>
      <c r="Z119" s="4"/>
      <c r="AA119" s="4"/>
      <c r="AB119" s="3"/>
      <c r="AC119" s="3"/>
      <c r="AD119" s="3"/>
      <c r="AZ119" s="3"/>
    </row>
    <row r="120" ht="15.75" customHeight="1">
      <c r="A120" s="4"/>
      <c r="B120" s="4"/>
      <c r="C120" s="4"/>
      <c r="D120" s="4"/>
      <c r="E120" s="3"/>
      <c r="F120" s="4"/>
      <c r="G120" s="4"/>
      <c r="H120" s="4"/>
      <c r="I120" s="4"/>
      <c r="J120" s="4"/>
      <c r="K120" s="4"/>
      <c r="L120" s="4"/>
      <c r="M120" s="4"/>
      <c r="N120" s="5"/>
      <c r="O120" s="4"/>
      <c r="P120" s="4"/>
      <c r="Q120" s="4"/>
      <c r="R120" s="4"/>
      <c r="S120" s="4"/>
      <c r="T120" s="4"/>
      <c r="U120" s="4"/>
      <c r="V120" s="4"/>
      <c r="W120" s="4"/>
      <c r="X120" s="4"/>
      <c r="Y120" s="4"/>
      <c r="Z120" s="4"/>
      <c r="AA120" s="4"/>
      <c r="AB120" s="3"/>
      <c r="AC120" s="3"/>
      <c r="AD120" s="3"/>
      <c r="AZ120" s="3"/>
    </row>
    <row r="121" ht="15.75" customHeight="1">
      <c r="A121" s="4"/>
      <c r="B121" s="4"/>
      <c r="C121" s="4"/>
      <c r="D121" s="4"/>
      <c r="E121" s="3"/>
      <c r="F121" s="4"/>
      <c r="G121" s="4"/>
      <c r="H121" s="4"/>
      <c r="I121" s="4"/>
      <c r="J121" s="4"/>
      <c r="K121" s="4"/>
      <c r="L121" s="4"/>
      <c r="M121" s="4"/>
      <c r="N121" s="5"/>
      <c r="O121" s="4"/>
      <c r="P121" s="4"/>
      <c r="Q121" s="4"/>
      <c r="R121" s="4"/>
      <c r="S121" s="4"/>
      <c r="T121" s="4"/>
      <c r="U121" s="4"/>
      <c r="V121" s="4"/>
      <c r="W121" s="4"/>
      <c r="X121" s="4"/>
      <c r="Y121" s="4"/>
      <c r="Z121" s="4"/>
      <c r="AA121" s="4"/>
      <c r="AB121" s="3"/>
      <c r="AC121" s="3"/>
      <c r="AD121" s="3"/>
      <c r="AZ121" s="3"/>
    </row>
    <row r="122" ht="15.75" customHeight="1">
      <c r="A122" s="4"/>
      <c r="B122" s="4"/>
      <c r="C122" s="4"/>
      <c r="D122" s="4"/>
      <c r="E122" s="3"/>
      <c r="F122" s="4"/>
      <c r="G122" s="4"/>
      <c r="H122" s="4"/>
      <c r="I122" s="4"/>
      <c r="J122" s="4"/>
      <c r="K122" s="4"/>
      <c r="L122" s="4"/>
      <c r="M122" s="4"/>
      <c r="N122" s="5"/>
      <c r="O122" s="4"/>
      <c r="P122" s="4"/>
      <c r="Q122" s="4"/>
      <c r="R122" s="4"/>
      <c r="S122" s="4"/>
      <c r="T122" s="4"/>
      <c r="U122" s="4"/>
      <c r="V122" s="4"/>
      <c r="W122" s="4"/>
      <c r="X122" s="4"/>
      <c r="Y122" s="4"/>
      <c r="Z122" s="4"/>
      <c r="AA122" s="4"/>
      <c r="AB122" s="3"/>
      <c r="AC122" s="3"/>
      <c r="AD122" s="3"/>
      <c r="AZ122" s="3"/>
    </row>
    <row r="123" ht="15.75" customHeight="1">
      <c r="A123" s="4"/>
      <c r="B123" s="4"/>
      <c r="C123" s="4"/>
      <c r="D123" s="4"/>
      <c r="E123" s="3"/>
      <c r="F123" s="4"/>
      <c r="G123" s="4"/>
      <c r="H123" s="4"/>
      <c r="I123" s="4"/>
      <c r="J123" s="4"/>
      <c r="K123" s="4"/>
      <c r="L123" s="4"/>
      <c r="M123" s="4"/>
      <c r="N123" s="5"/>
      <c r="O123" s="4"/>
      <c r="P123" s="4"/>
      <c r="Q123" s="4"/>
      <c r="R123" s="4"/>
      <c r="S123" s="4"/>
      <c r="T123" s="4"/>
      <c r="U123" s="4"/>
      <c r="V123" s="4"/>
      <c r="W123" s="4"/>
      <c r="X123" s="4"/>
      <c r="Y123" s="4"/>
      <c r="Z123" s="4"/>
      <c r="AA123" s="4"/>
      <c r="AB123" s="3"/>
      <c r="AC123" s="3"/>
      <c r="AD123" s="3"/>
      <c r="AZ123" s="3"/>
    </row>
    <row r="124" ht="15.75" customHeight="1">
      <c r="A124" s="4"/>
      <c r="B124" s="4"/>
      <c r="C124" s="4"/>
      <c r="D124" s="4"/>
      <c r="E124" s="3"/>
      <c r="F124" s="4"/>
      <c r="G124" s="4"/>
      <c r="H124" s="4"/>
      <c r="I124" s="4"/>
      <c r="J124" s="4"/>
      <c r="K124" s="4"/>
      <c r="L124" s="4"/>
      <c r="M124" s="4"/>
      <c r="N124" s="5"/>
      <c r="O124" s="4"/>
      <c r="P124" s="4"/>
      <c r="Q124" s="4"/>
      <c r="R124" s="4"/>
      <c r="S124" s="4"/>
      <c r="T124" s="4"/>
      <c r="U124" s="4"/>
      <c r="V124" s="4"/>
      <c r="W124" s="4"/>
      <c r="X124" s="4"/>
      <c r="Y124" s="4"/>
      <c r="Z124" s="4"/>
      <c r="AA124" s="4"/>
      <c r="AB124" s="3"/>
      <c r="AC124" s="3"/>
      <c r="AD124" s="3"/>
      <c r="AZ124" s="3"/>
    </row>
    <row r="125" ht="15.75" customHeight="1">
      <c r="A125" s="4"/>
      <c r="B125" s="4"/>
      <c r="C125" s="4"/>
      <c r="D125" s="4"/>
      <c r="E125" s="3"/>
      <c r="F125" s="4"/>
      <c r="G125" s="4"/>
      <c r="H125" s="4"/>
      <c r="I125" s="4"/>
      <c r="J125" s="4"/>
      <c r="K125" s="4"/>
      <c r="L125" s="4"/>
      <c r="M125" s="4"/>
      <c r="N125" s="5"/>
      <c r="O125" s="4"/>
      <c r="P125" s="4"/>
      <c r="Q125" s="4"/>
      <c r="R125" s="4"/>
      <c r="S125" s="4"/>
      <c r="T125" s="4"/>
      <c r="U125" s="4"/>
      <c r="V125" s="4"/>
      <c r="W125" s="4"/>
      <c r="X125" s="4"/>
      <c r="Y125" s="4"/>
      <c r="Z125" s="4"/>
      <c r="AA125" s="4"/>
      <c r="AB125" s="3"/>
      <c r="AC125" s="3"/>
      <c r="AD125" s="3"/>
      <c r="AZ125" s="3"/>
    </row>
    <row r="126" ht="15.75" customHeight="1">
      <c r="A126" s="4"/>
      <c r="B126" s="4"/>
      <c r="C126" s="4"/>
      <c r="D126" s="4"/>
      <c r="E126" s="3"/>
      <c r="F126" s="4"/>
      <c r="G126" s="4"/>
      <c r="H126" s="4"/>
      <c r="I126" s="4"/>
      <c r="J126" s="4"/>
      <c r="K126" s="4"/>
      <c r="L126" s="4"/>
      <c r="M126" s="4"/>
      <c r="N126" s="5"/>
      <c r="O126" s="4"/>
      <c r="P126" s="4"/>
      <c r="Q126" s="4"/>
      <c r="R126" s="4"/>
      <c r="S126" s="4"/>
      <c r="T126" s="4"/>
      <c r="U126" s="4"/>
      <c r="V126" s="4"/>
      <c r="W126" s="4"/>
      <c r="X126" s="4"/>
      <c r="Y126" s="4"/>
      <c r="Z126" s="4"/>
      <c r="AA126" s="4"/>
      <c r="AB126" s="3"/>
      <c r="AC126" s="3"/>
      <c r="AD126" s="3"/>
      <c r="AZ126" s="3"/>
    </row>
    <row r="127" ht="15.75" customHeight="1">
      <c r="A127" s="4"/>
      <c r="B127" s="4"/>
      <c r="C127" s="4"/>
      <c r="D127" s="4"/>
      <c r="E127" s="3"/>
      <c r="F127" s="4"/>
      <c r="G127" s="4"/>
      <c r="H127" s="4"/>
      <c r="I127" s="4"/>
      <c r="J127" s="4"/>
      <c r="K127" s="4"/>
      <c r="L127" s="4"/>
      <c r="M127" s="4"/>
      <c r="N127" s="5"/>
      <c r="O127" s="4"/>
      <c r="P127" s="4"/>
      <c r="Q127" s="4"/>
      <c r="R127" s="4"/>
      <c r="S127" s="4"/>
      <c r="T127" s="4"/>
      <c r="U127" s="4"/>
      <c r="V127" s="4"/>
      <c r="W127" s="4"/>
      <c r="X127" s="4"/>
      <c r="Y127" s="4"/>
      <c r="Z127" s="4"/>
      <c r="AA127" s="4"/>
      <c r="AB127" s="3"/>
      <c r="AC127" s="3"/>
      <c r="AD127" s="3"/>
      <c r="AZ127" s="3"/>
    </row>
    <row r="128" ht="15.75" customHeight="1">
      <c r="A128" s="4"/>
      <c r="B128" s="4"/>
      <c r="C128" s="4"/>
      <c r="D128" s="4"/>
      <c r="E128" s="3"/>
      <c r="F128" s="4"/>
      <c r="G128" s="4"/>
      <c r="H128" s="4"/>
      <c r="I128" s="4"/>
      <c r="J128" s="4"/>
      <c r="K128" s="4"/>
      <c r="L128" s="4"/>
      <c r="M128" s="4"/>
      <c r="N128" s="5"/>
      <c r="O128" s="4"/>
      <c r="P128" s="4"/>
      <c r="Q128" s="4"/>
      <c r="R128" s="4"/>
      <c r="S128" s="4"/>
      <c r="T128" s="4"/>
      <c r="U128" s="4"/>
      <c r="V128" s="4"/>
      <c r="W128" s="4"/>
      <c r="X128" s="4"/>
      <c r="Y128" s="4"/>
      <c r="Z128" s="4"/>
      <c r="AA128" s="4"/>
      <c r="AB128" s="3"/>
      <c r="AC128" s="3"/>
      <c r="AD128" s="3"/>
      <c r="AZ128" s="3"/>
    </row>
    <row r="129" ht="15.75" customHeight="1">
      <c r="A129" s="4"/>
      <c r="B129" s="4"/>
      <c r="C129" s="4"/>
      <c r="D129" s="4"/>
      <c r="E129" s="3"/>
      <c r="F129" s="4"/>
      <c r="G129" s="4"/>
      <c r="H129" s="4"/>
      <c r="I129" s="4"/>
      <c r="J129" s="4"/>
      <c r="K129" s="4"/>
      <c r="L129" s="4"/>
      <c r="M129" s="4"/>
      <c r="N129" s="5"/>
      <c r="O129" s="4"/>
      <c r="P129" s="4"/>
      <c r="Q129" s="4"/>
      <c r="R129" s="4"/>
      <c r="S129" s="4"/>
      <c r="T129" s="4"/>
      <c r="U129" s="4"/>
      <c r="V129" s="4"/>
      <c r="W129" s="4"/>
      <c r="X129" s="4"/>
      <c r="Y129" s="4"/>
      <c r="Z129" s="4"/>
      <c r="AA129" s="4"/>
      <c r="AB129" s="3"/>
      <c r="AC129" s="3"/>
      <c r="AD129" s="3"/>
      <c r="AZ129" s="3"/>
    </row>
    <row r="130" ht="15.75" customHeight="1">
      <c r="A130" s="4"/>
      <c r="B130" s="4"/>
      <c r="C130" s="4"/>
      <c r="D130" s="4"/>
      <c r="E130" s="3"/>
      <c r="F130" s="4"/>
      <c r="G130" s="4"/>
      <c r="H130" s="4"/>
      <c r="I130" s="4"/>
      <c r="J130" s="4"/>
      <c r="K130" s="4"/>
      <c r="L130" s="4"/>
      <c r="M130" s="4"/>
      <c r="N130" s="5"/>
      <c r="O130" s="4"/>
      <c r="P130" s="4"/>
      <c r="Q130" s="4"/>
      <c r="R130" s="4"/>
      <c r="S130" s="4"/>
      <c r="T130" s="4"/>
      <c r="U130" s="4"/>
      <c r="V130" s="4"/>
      <c r="W130" s="4"/>
      <c r="X130" s="4"/>
      <c r="Y130" s="4"/>
      <c r="Z130" s="4"/>
      <c r="AA130" s="4"/>
      <c r="AB130" s="3"/>
      <c r="AC130" s="3"/>
      <c r="AD130" s="3"/>
      <c r="AZ130" s="3"/>
    </row>
    <row r="131" ht="15.75" customHeight="1">
      <c r="A131" s="4"/>
      <c r="B131" s="4"/>
      <c r="C131" s="4"/>
      <c r="D131" s="4"/>
      <c r="E131" s="3"/>
      <c r="F131" s="4"/>
      <c r="G131" s="4"/>
      <c r="H131" s="4"/>
      <c r="I131" s="4"/>
      <c r="J131" s="4"/>
      <c r="K131" s="4"/>
      <c r="L131" s="4"/>
      <c r="M131" s="4"/>
      <c r="N131" s="5"/>
      <c r="O131" s="4"/>
      <c r="P131" s="4"/>
      <c r="Q131" s="4"/>
      <c r="R131" s="4"/>
      <c r="S131" s="4"/>
      <c r="T131" s="4"/>
      <c r="U131" s="4"/>
      <c r="V131" s="4"/>
      <c r="W131" s="4"/>
      <c r="X131" s="4"/>
      <c r="Y131" s="4"/>
      <c r="Z131" s="4"/>
      <c r="AA131" s="4"/>
      <c r="AB131" s="3"/>
      <c r="AC131" s="3"/>
      <c r="AD131" s="3"/>
      <c r="AZ131" s="3"/>
    </row>
    <row r="132" ht="15.75" customHeight="1">
      <c r="A132" s="4"/>
      <c r="B132" s="4"/>
      <c r="C132" s="4"/>
      <c r="D132" s="4"/>
      <c r="E132" s="3"/>
      <c r="F132" s="4"/>
      <c r="G132" s="4"/>
      <c r="H132" s="4"/>
      <c r="I132" s="4"/>
      <c r="J132" s="4"/>
      <c r="K132" s="4"/>
      <c r="L132" s="4"/>
      <c r="M132" s="4"/>
      <c r="N132" s="5"/>
      <c r="O132" s="4"/>
      <c r="P132" s="4"/>
      <c r="Q132" s="4"/>
      <c r="R132" s="4"/>
      <c r="S132" s="4"/>
      <c r="T132" s="4"/>
      <c r="U132" s="4"/>
      <c r="V132" s="4"/>
      <c r="W132" s="4"/>
      <c r="X132" s="4"/>
      <c r="Y132" s="4"/>
      <c r="Z132" s="4"/>
      <c r="AA132" s="4"/>
      <c r="AB132" s="3"/>
      <c r="AC132" s="3"/>
      <c r="AD132" s="3"/>
      <c r="AZ132" s="3"/>
    </row>
    <row r="133" ht="15.75" customHeight="1">
      <c r="A133" s="4"/>
      <c r="B133" s="4"/>
      <c r="C133" s="4"/>
      <c r="D133" s="4"/>
      <c r="E133" s="3"/>
      <c r="F133" s="4"/>
      <c r="G133" s="4"/>
      <c r="H133" s="4"/>
      <c r="I133" s="4"/>
      <c r="J133" s="4"/>
      <c r="K133" s="4"/>
      <c r="L133" s="4"/>
      <c r="M133" s="4"/>
      <c r="N133" s="5"/>
      <c r="O133" s="4"/>
      <c r="P133" s="4"/>
      <c r="Q133" s="4"/>
      <c r="R133" s="4"/>
      <c r="S133" s="4"/>
      <c r="T133" s="4"/>
      <c r="U133" s="4"/>
      <c r="V133" s="4"/>
      <c r="W133" s="4"/>
      <c r="X133" s="4"/>
      <c r="Y133" s="4"/>
      <c r="Z133" s="4"/>
      <c r="AA133" s="4"/>
      <c r="AB133" s="3"/>
      <c r="AC133" s="3"/>
      <c r="AD133" s="3"/>
      <c r="AZ133" s="3"/>
    </row>
    <row r="134" ht="15.75" customHeight="1">
      <c r="A134" s="4"/>
      <c r="B134" s="4"/>
      <c r="C134" s="4"/>
      <c r="D134" s="4"/>
      <c r="E134" s="3"/>
      <c r="F134" s="4"/>
      <c r="G134" s="4"/>
      <c r="H134" s="4"/>
      <c r="I134" s="4"/>
      <c r="J134" s="4"/>
      <c r="K134" s="4"/>
      <c r="L134" s="4"/>
      <c r="M134" s="4"/>
      <c r="N134" s="5"/>
      <c r="O134" s="4"/>
      <c r="P134" s="4"/>
      <c r="Q134" s="4"/>
      <c r="R134" s="4"/>
      <c r="S134" s="4"/>
      <c r="T134" s="4"/>
      <c r="U134" s="4"/>
      <c r="V134" s="4"/>
      <c r="W134" s="4"/>
      <c r="X134" s="4"/>
      <c r="Y134" s="4"/>
      <c r="Z134" s="4"/>
      <c r="AA134" s="4"/>
      <c r="AB134" s="3"/>
      <c r="AC134" s="3"/>
      <c r="AD134" s="3"/>
      <c r="AZ134" s="3"/>
    </row>
    <row r="135" ht="15.75" customHeight="1">
      <c r="A135" s="4"/>
      <c r="B135" s="4"/>
      <c r="C135" s="4"/>
      <c r="D135" s="4"/>
      <c r="E135" s="3"/>
      <c r="F135" s="4"/>
      <c r="G135" s="4"/>
      <c r="H135" s="4"/>
      <c r="I135" s="4"/>
      <c r="J135" s="4"/>
      <c r="K135" s="4"/>
      <c r="L135" s="4"/>
      <c r="M135" s="4"/>
      <c r="N135" s="5"/>
      <c r="O135" s="4"/>
      <c r="P135" s="4"/>
      <c r="Q135" s="4"/>
      <c r="R135" s="4"/>
      <c r="S135" s="4"/>
      <c r="T135" s="4"/>
      <c r="U135" s="4"/>
      <c r="V135" s="4"/>
      <c r="W135" s="4"/>
      <c r="X135" s="4"/>
      <c r="Y135" s="4"/>
      <c r="Z135" s="4"/>
      <c r="AA135" s="4"/>
      <c r="AB135" s="3"/>
      <c r="AC135" s="3"/>
      <c r="AD135" s="3"/>
      <c r="AZ135" s="3"/>
    </row>
    <row r="136" ht="15.75" customHeight="1">
      <c r="A136" s="4"/>
      <c r="B136" s="4"/>
      <c r="C136" s="4"/>
      <c r="D136" s="4"/>
      <c r="E136" s="3"/>
      <c r="F136" s="4"/>
      <c r="G136" s="4"/>
      <c r="H136" s="4"/>
      <c r="I136" s="4"/>
      <c r="J136" s="4"/>
      <c r="K136" s="4"/>
      <c r="L136" s="4"/>
      <c r="M136" s="4"/>
      <c r="N136" s="5"/>
      <c r="O136" s="4"/>
      <c r="P136" s="4"/>
      <c r="Q136" s="4"/>
      <c r="R136" s="4"/>
      <c r="S136" s="4"/>
      <c r="T136" s="4"/>
      <c r="U136" s="4"/>
      <c r="V136" s="4"/>
      <c r="W136" s="4"/>
      <c r="X136" s="4"/>
      <c r="Y136" s="4"/>
      <c r="Z136" s="4"/>
      <c r="AA136" s="4"/>
      <c r="AB136" s="3"/>
      <c r="AC136" s="3"/>
      <c r="AD136" s="3"/>
      <c r="AZ136" s="3"/>
    </row>
    <row r="137" ht="15.75" customHeight="1">
      <c r="A137" s="4"/>
      <c r="B137" s="4"/>
      <c r="C137" s="4"/>
      <c r="D137" s="4"/>
      <c r="E137" s="3"/>
      <c r="F137" s="4"/>
      <c r="G137" s="4"/>
      <c r="H137" s="4"/>
      <c r="I137" s="4"/>
      <c r="J137" s="4"/>
      <c r="K137" s="4"/>
      <c r="L137" s="4"/>
      <c r="M137" s="4"/>
      <c r="N137" s="5"/>
      <c r="O137" s="4"/>
      <c r="P137" s="4"/>
      <c r="Q137" s="4"/>
      <c r="R137" s="4"/>
      <c r="S137" s="4"/>
      <c r="T137" s="4"/>
      <c r="U137" s="4"/>
      <c r="V137" s="4"/>
      <c r="W137" s="4"/>
      <c r="X137" s="4"/>
      <c r="Y137" s="4"/>
      <c r="Z137" s="4"/>
      <c r="AA137" s="4"/>
      <c r="AB137" s="3"/>
      <c r="AC137" s="3"/>
      <c r="AD137" s="3"/>
      <c r="AZ137" s="3"/>
    </row>
    <row r="138" ht="15.75" customHeight="1">
      <c r="A138" s="4"/>
      <c r="B138" s="4"/>
      <c r="C138" s="4"/>
      <c r="D138" s="4"/>
      <c r="E138" s="3"/>
      <c r="F138" s="4"/>
      <c r="G138" s="4"/>
      <c r="H138" s="4"/>
      <c r="I138" s="4"/>
      <c r="J138" s="4"/>
      <c r="K138" s="4"/>
      <c r="L138" s="4"/>
      <c r="M138" s="4"/>
      <c r="N138" s="5"/>
      <c r="O138" s="4"/>
      <c r="P138" s="4"/>
      <c r="Q138" s="4"/>
      <c r="R138" s="4"/>
      <c r="S138" s="4"/>
      <c r="T138" s="4"/>
      <c r="U138" s="4"/>
      <c r="V138" s="4"/>
      <c r="W138" s="4"/>
      <c r="X138" s="4"/>
      <c r="Y138" s="4"/>
      <c r="Z138" s="4"/>
      <c r="AA138" s="4"/>
      <c r="AB138" s="3"/>
      <c r="AC138" s="3"/>
      <c r="AD138" s="3"/>
      <c r="AZ138" s="3"/>
    </row>
    <row r="139" ht="15.75" customHeight="1">
      <c r="A139" s="4"/>
      <c r="B139" s="4"/>
      <c r="C139" s="4"/>
      <c r="D139" s="4"/>
      <c r="E139" s="3"/>
      <c r="F139" s="4"/>
      <c r="G139" s="4"/>
      <c r="H139" s="4"/>
      <c r="I139" s="4"/>
      <c r="J139" s="4"/>
      <c r="K139" s="4"/>
      <c r="L139" s="4"/>
      <c r="M139" s="4"/>
      <c r="N139" s="5"/>
      <c r="O139" s="4"/>
      <c r="P139" s="4"/>
      <c r="Q139" s="4"/>
      <c r="R139" s="4"/>
      <c r="S139" s="4"/>
      <c r="T139" s="4"/>
      <c r="U139" s="4"/>
      <c r="V139" s="4"/>
      <c r="W139" s="4"/>
      <c r="X139" s="4"/>
      <c r="Y139" s="4"/>
      <c r="Z139" s="4"/>
      <c r="AA139" s="4"/>
      <c r="AB139" s="3"/>
      <c r="AC139" s="3"/>
      <c r="AD139" s="3"/>
      <c r="AZ139" s="3"/>
    </row>
    <row r="140" ht="15.75" customHeight="1">
      <c r="A140" s="4"/>
      <c r="B140" s="4"/>
      <c r="C140" s="4"/>
      <c r="D140" s="4"/>
      <c r="E140" s="3"/>
      <c r="F140" s="4"/>
      <c r="G140" s="4"/>
      <c r="H140" s="4"/>
      <c r="I140" s="4"/>
      <c r="J140" s="4"/>
      <c r="K140" s="4"/>
      <c r="L140" s="4"/>
      <c r="M140" s="4"/>
      <c r="N140" s="5"/>
      <c r="O140" s="4"/>
      <c r="P140" s="4"/>
      <c r="Q140" s="4"/>
      <c r="R140" s="4"/>
      <c r="S140" s="4"/>
      <c r="T140" s="4"/>
      <c r="U140" s="4"/>
      <c r="V140" s="4"/>
      <c r="W140" s="4"/>
      <c r="X140" s="4"/>
      <c r="Y140" s="4"/>
      <c r="Z140" s="4"/>
      <c r="AA140" s="4"/>
      <c r="AB140" s="3"/>
      <c r="AC140" s="3"/>
      <c r="AD140" s="3"/>
      <c r="AZ140" s="3"/>
    </row>
    <row r="141" ht="15.75" customHeight="1">
      <c r="A141" s="4"/>
      <c r="B141" s="4"/>
      <c r="C141" s="4"/>
      <c r="D141" s="4"/>
      <c r="E141" s="3"/>
      <c r="F141" s="4"/>
      <c r="G141" s="4"/>
      <c r="H141" s="4"/>
      <c r="I141" s="4"/>
      <c r="J141" s="4"/>
      <c r="K141" s="4"/>
      <c r="L141" s="4"/>
      <c r="M141" s="4"/>
      <c r="N141" s="5"/>
      <c r="O141" s="4"/>
      <c r="P141" s="4"/>
      <c r="Q141" s="4"/>
      <c r="R141" s="4"/>
      <c r="S141" s="4"/>
      <c r="T141" s="4"/>
      <c r="U141" s="4"/>
      <c r="V141" s="4"/>
      <c r="W141" s="4"/>
      <c r="X141" s="4"/>
      <c r="Y141" s="4"/>
      <c r="Z141" s="4"/>
      <c r="AA141" s="4"/>
      <c r="AB141" s="3"/>
      <c r="AC141" s="3"/>
      <c r="AD141" s="3"/>
      <c r="AZ141" s="3"/>
    </row>
    <row r="142" ht="15.75" customHeight="1">
      <c r="A142" s="4"/>
      <c r="B142" s="4"/>
      <c r="C142" s="4"/>
      <c r="D142" s="4"/>
      <c r="E142" s="3"/>
      <c r="F142" s="4"/>
      <c r="G142" s="4"/>
      <c r="H142" s="4"/>
      <c r="I142" s="4"/>
      <c r="J142" s="4"/>
      <c r="K142" s="4"/>
      <c r="L142" s="4"/>
      <c r="M142" s="4"/>
      <c r="N142" s="5"/>
      <c r="O142" s="4"/>
      <c r="P142" s="4"/>
      <c r="Q142" s="4"/>
      <c r="R142" s="4"/>
      <c r="S142" s="4"/>
      <c r="T142" s="4"/>
      <c r="U142" s="4"/>
      <c r="V142" s="4"/>
      <c r="W142" s="4"/>
      <c r="X142" s="4"/>
      <c r="Y142" s="4"/>
      <c r="Z142" s="4"/>
      <c r="AA142" s="4"/>
      <c r="AB142" s="3"/>
      <c r="AC142" s="3"/>
      <c r="AD142" s="3"/>
      <c r="AZ142" s="3"/>
    </row>
    <row r="143" ht="15.75" customHeight="1">
      <c r="A143" s="4"/>
      <c r="B143" s="4"/>
      <c r="C143" s="4"/>
      <c r="D143" s="4"/>
      <c r="E143" s="3"/>
      <c r="F143" s="4"/>
      <c r="G143" s="4"/>
      <c r="H143" s="4"/>
      <c r="I143" s="4"/>
      <c r="J143" s="4"/>
      <c r="K143" s="4"/>
      <c r="L143" s="4"/>
      <c r="M143" s="4"/>
      <c r="N143" s="5"/>
      <c r="O143" s="4"/>
      <c r="P143" s="4"/>
      <c r="Q143" s="4"/>
      <c r="R143" s="4"/>
      <c r="S143" s="4"/>
      <c r="T143" s="4"/>
      <c r="U143" s="4"/>
      <c r="V143" s="4"/>
      <c r="W143" s="4"/>
      <c r="X143" s="4"/>
      <c r="Y143" s="4"/>
      <c r="Z143" s="4"/>
      <c r="AA143" s="4"/>
      <c r="AB143" s="3"/>
      <c r="AC143" s="3"/>
      <c r="AD143" s="3"/>
      <c r="AZ143" s="3"/>
    </row>
    <row r="144" ht="15.75" customHeight="1">
      <c r="A144" s="4"/>
      <c r="B144" s="4"/>
      <c r="C144" s="4"/>
      <c r="D144" s="4"/>
      <c r="E144" s="3"/>
      <c r="F144" s="4"/>
      <c r="G144" s="4"/>
      <c r="H144" s="4"/>
      <c r="I144" s="4"/>
      <c r="J144" s="4"/>
      <c r="K144" s="4"/>
      <c r="L144" s="4"/>
      <c r="M144" s="4"/>
      <c r="N144" s="5"/>
      <c r="O144" s="4"/>
      <c r="P144" s="4"/>
      <c r="Q144" s="4"/>
      <c r="R144" s="4"/>
      <c r="S144" s="4"/>
      <c r="T144" s="4"/>
      <c r="U144" s="4"/>
      <c r="V144" s="4"/>
      <c r="W144" s="4"/>
      <c r="X144" s="4"/>
      <c r="Y144" s="4"/>
      <c r="Z144" s="4"/>
      <c r="AA144" s="4"/>
      <c r="AB144" s="3"/>
      <c r="AC144" s="3"/>
      <c r="AD144" s="3"/>
      <c r="AZ144" s="3"/>
    </row>
    <row r="145" ht="15.75" customHeight="1">
      <c r="A145" s="4"/>
      <c r="B145" s="4"/>
      <c r="C145" s="4"/>
      <c r="D145" s="4"/>
      <c r="E145" s="3"/>
      <c r="F145" s="4"/>
      <c r="G145" s="4"/>
      <c r="H145" s="4"/>
      <c r="I145" s="4"/>
      <c r="J145" s="4"/>
      <c r="K145" s="4"/>
      <c r="L145" s="4"/>
      <c r="M145" s="4"/>
      <c r="N145" s="5"/>
      <c r="O145" s="4"/>
      <c r="P145" s="4"/>
      <c r="Q145" s="4"/>
      <c r="R145" s="4"/>
      <c r="S145" s="4"/>
      <c r="T145" s="4"/>
      <c r="U145" s="4"/>
      <c r="V145" s="4"/>
      <c r="W145" s="4"/>
      <c r="X145" s="4"/>
      <c r="Y145" s="4"/>
      <c r="Z145" s="4"/>
      <c r="AA145" s="4"/>
      <c r="AB145" s="3"/>
      <c r="AC145" s="3"/>
      <c r="AD145" s="3"/>
      <c r="AZ145" s="3"/>
    </row>
    <row r="146" ht="15.75" customHeight="1">
      <c r="A146" s="4"/>
      <c r="B146" s="4"/>
      <c r="C146" s="4"/>
      <c r="D146" s="4"/>
      <c r="E146" s="3"/>
      <c r="F146" s="4"/>
      <c r="G146" s="4"/>
      <c r="H146" s="4"/>
      <c r="I146" s="4"/>
      <c r="J146" s="4"/>
      <c r="K146" s="4"/>
      <c r="L146" s="4"/>
      <c r="M146" s="4"/>
      <c r="N146" s="5"/>
      <c r="O146" s="4"/>
      <c r="P146" s="4"/>
      <c r="Q146" s="4"/>
      <c r="R146" s="4"/>
      <c r="S146" s="4"/>
      <c r="T146" s="4"/>
      <c r="U146" s="4"/>
      <c r="V146" s="4"/>
      <c r="W146" s="4"/>
      <c r="X146" s="4"/>
      <c r="Y146" s="4"/>
      <c r="Z146" s="4"/>
      <c r="AA146" s="4"/>
      <c r="AB146" s="3"/>
      <c r="AC146" s="3"/>
      <c r="AD146" s="3"/>
      <c r="AZ146" s="3"/>
    </row>
    <row r="147" ht="15.75" customHeight="1">
      <c r="A147" s="4"/>
      <c r="B147" s="4"/>
      <c r="C147" s="4"/>
      <c r="D147" s="4"/>
      <c r="E147" s="3"/>
      <c r="F147" s="4"/>
      <c r="G147" s="4"/>
      <c r="H147" s="4"/>
      <c r="I147" s="4"/>
      <c r="J147" s="4"/>
      <c r="K147" s="4"/>
      <c r="L147" s="4"/>
      <c r="M147" s="4"/>
      <c r="N147" s="5"/>
      <c r="O147" s="4"/>
      <c r="P147" s="4"/>
      <c r="Q147" s="4"/>
      <c r="R147" s="4"/>
      <c r="S147" s="4"/>
      <c r="T147" s="4"/>
      <c r="U147" s="4"/>
      <c r="V147" s="4"/>
      <c r="W147" s="4"/>
      <c r="X147" s="4"/>
      <c r="Y147" s="4"/>
      <c r="Z147" s="4"/>
      <c r="AA147" s="4"/>
      <c r="AB147" s="3"/>
      <c r="AC147" s="3"/>
      <c r="AD147" s="3"/>
      <c r="AZ147" s="3"/>
    </row>
    <row r="148" ht="15.75" customHeight="1">
      <c r="A148" s="4"/>
      <c r="B148" s="4"/>
      <c r="C148" s="4"/>
      <c r="D148" s="4"/>
      <c r="E148" s="3"/>
      <c r="F148" s="4"/>
      <c r="G148" s="4"/>
      <c r="H148" s="4"/>
      <c r="I148" s="4"/>
      <c r="J148" s="4"/>
      <c r="K148" s="4"/>
      <c r="L148" s="4"/>
      <c r="M148" s="4"/>
      <c r="N148" s="5"/>
      <c r="O148" s="4"/>
      <c r="P148" s="4"/>
      <c r="Q148" s="4"/>
      <c r="R148" s="4"/>
      <c r="S148" s="4"/>
      <c r="T148" s="4"/>
      <c r="U148" s="4"/>
      <c r="V148" s="4"/>
      <c r="W148" s="4"/>
      <c r="X148" s="4"/>
      <c r="Y148" s="4"/>
      <c r="Z148" s="4"/>
      <c r="AA148" s="4"/>
      <c r="AB148" s="3"/>
      <c r="AC148" s="3"/>
      <c r="AD148" s="3"/>
      <c r="AZ148" s="3"/>
    </row>
    <row r="149" ht="15.75" customHeight="1">
      <c r="A149" s="4"/>
      <c r="B149" s="4"/>
      <c r="C149" s="4"/>
      <c r="D149" s="4"/>
      <c r="E149" s="3"/>
      <c r="F149" s="4"/>
      <c r="G149" s="4"/>
      <c r="H149" s="4"/>
      <c r="I149" s="4"/>
      <c r="J149" s="4"/>
      <c r="K149" s="4"/>
      <c r="L149" s="4"/>
      <c r="M149" s="4"/>
      <c r="N149" s="5"/>
      <c r="O149" s="4"/>
      <c r="P149" s="4"/>
      <c r="Q149" s="4"/>
      <c r="R149" s="4"/>
      <c r="S149" s="4"/>
      <c r="T149" s="4"/>
      <c r="U149" s="4"/>
      <c r="V149" s="4"/>
      <c r="W149" s="4"/>
      <c r="X149" s="4"/>
      <c r="Y149" s="4"/>
      <c r="Z149" s="4"/>
      <c r="AA149" s="4"/>
      <c r="AB149" s="3"/>
      <c r="AC149" s="3"/>
      <c r="AD149" s="3"/>
      <c r="AZ149" s="3"/>
    </row>
    <row r="150" ht="15.75" customHeight="1">
      <c r="A150" s="4"/>
      <c r="B150" s="4"/>
      <c r="C150" s="4"/>
      <c r="D150" s="4"/>
      <c r="E150" s="3"/>
      <c r="F150" s="4"/>
      <c r="G150" s="4"/>
      <c r="H150" s="4"/>
      <c r="I150" s="4"/>
      <c r="J150" s="4"/>
      <c r="K150" s="4"/>
      <c r="L150" s="4"/>
      <c r="M150" s="4"/>
      <c r="N150" s="5"/>
      <c r="O150" s="4"/>
      <c r="P150" s="4"/>
      <c r="Q150" s="4"/>
      <c r="R150" s="4"/>
      <c r="S150" s="4"/>
      <c r="T150" s="4"/>
      <c r="U150" s="4"/>
      <c r="V150" s="4"/>
      <c r="W150" s="4"/>
      <c r="X150" s="4"/>
      <c r="Y150" s="4"/>
      <c r="Z150" s="4"/>
      <c r="AA150" s="4"/>
      <c r="AB150" s="3"/>
      <c r="AC150" s="3"/>
      <c r="AD150" s="3"/>
      <c r="AZ150" s="3"/>
    </row>
    <row r="151" ht="15.75" customHeight="1">
      <c r="A151" s="4"/>
      <c r="B151" s="4"/>
      <c r="C151" s="4"/>
      <c r="D151" s="4"/>
      <c r="E151" s="3"/>
      <c r="F151" s="4"/>
      <c r="G151" s="4"/>
      <c r="H151" s="4"/>
      <c r="I151" s="4"/>
      <c r="J151" s="4"/>
      <c r="K151" s="4"/>
      <c r="L151" s="4"/>
      <c r="M151" s="4"/>
      <c r="N151" s="5"/>
      <c r="O151" s="4"/>
      <c r="P151" s="4"/>
      <c r="Q151" s="4"/>
      <c r="R151" s="4"/>
      <c r="S151" s="4"/>
      <c r="T151" s="4"/>
      <c r="U151" s="4"/>
      <c r="V151" s="4"/>
      <c r="W151" s="4"/>
      <c r="X151" s="4"/>
      <c r="Y151" s="4"/>
      <c r="Z151" s="4"/>
      <c r="AA151" s="4"/>
      <c r="AB151" s="3"/>
      <c r="AC151" s="3"/>
      <c r="AD151" s="3"/>
      <c r="AZ151" s="3"/>
    </row>
    <row r="152" ht="15.75" customHeight="1">
      <c r="A152" s="4"/>
      <c r="B152" s="4"/>
      <c r="C152" s="4"/>
      <c r="D152" s="4"/>
      <c r="E152" s="3"/>
      <c r="F152" s="4"/>
      <c r="G152" s="4"/>
      <c r="H152" s="4"/>
      <c r="I152" s="4"/>
      <c r="J152" s="4"/>
      <c r="K152" s="4"/>
      <c r="L152" s="4"/>
      <c r="M152" s="4"/>
      <c r="N152" s="5"/>
      <c r="O152" s="4"/>
      <c r="P152" s="4"/>
      <c r="Q152" s="4"/>
      <c r="R152" s="4"/>
      <c r="S152" s="4"/>
      <c r="T152" s="4"/>
      <c r="U152" s="4"/>
      <c r="V152" s="4"/>
      <c r="W152" s="4"/>
      <c r="X152" s="4"/>
      <c r="Y152" s="4"/>
      <c r="Z152" s="4"/>
      <c r="AA152" s="4"/>
      <c r="AB152" s="3"/>
      <c r="AC152" s="3"/>
      <c r="AD152" s="3"/>
      <c r="AZ152" s="3"/>
    </row>
    <row r="153" ht="15.75" customHeight="1">
      <c r="A153" s="4"/>
      <c r="B153" s="4"/>
      <c r="C153" s="4"/>
      <c r="D153" s="4"/>
      <c r="E153" s="3"/>
      <c r="F153" s="4"/>
      <c r="G153" s="4"/>
      <c r="H153" s="4"/>
      <c r="I153" s="4"/>
      <c r="J153" s="4"/>
      <c r="K153" s="4"/>
      <c r="L153" s="4"/>
      <c r="M153" s="4"/>
      <c r="N153" s="5"/>
      <c r="O153" s="4"/>
      <c r="P153" s="4"/>
      <c r="Q153" s="4"/>
      <c r="R153" s="4"/>
      <c r="S153" s="4"/>
      <c r="T153" s="4"/>
      <c r="U153" s="4"/>
      <c r="V153" s="4"/>
      <c r="W153" s="4"/>
      <c r="X153" s="4"/>
      <c r="Y153" s="4"/>
      <c r="Z153" s="4"/>
      <c r="AA153" s="4"/>
      <c r="AB153" s="3"/>
      <c r="AC153" s="3"/>
      <c r="AD153" s="3"/>
      <c r="AZ153" s="3"/>
    </row>
    <row r="154" ht="15.75" customHeight="1">
      <c r="A154" s="4"/>
      <c r="B154" s="4"/>
      <c r="C154" s="4"/>
      <c r="D154" s="4"/>
      <c r="E154" s="3"/>
      <c r="F154" s="4"/>
      <c r="G154" s="4"/>
      <c r="H154" s="4"/>
      <c r="I154" s="4"/>
      <c r="J154" s="4"/>
      <c r="K154" s="4"/>
      <c r="L154" s="4"/>
      <c r="M154" s="4"/>
      <c r="N154" s="5"/>
      <c r="O154" s="4"/>
      <c r="P154" s="4"/>
      <c r="Q154" s="4"/>
      <c r="R154" s="4"/>
      <c r="S154" s="4"/>
      <c r="T154" s="4"/>
      <c r="U154" s="4"/>
      <c r="V154" s="4"/>
      <c r="W154" s="4"/>
      <c r="X154" s="4"/>
      <c r="Y154" s="4"/>
      <c r="Z154" s="4"/>
      <c r="AA154" s="4"/>
      <c r="AB154" s="3"/>
      <c r="AC154" s="3"/>
      <c r="AD154" s="3"/>
      <c r="AZ154" s="3"/>
    </row>
    <row r="155" ht="15.75" customHeight="1">
      <c r="A155" s="4"/>
      <c r="B155" s="4"/>
      <c r="C155" s="4"/>
      <c r="D155" s="4"/>
      <c r="E155" s="3"/>
      <c r="F155" s="4"/>
      <c r="G155" s="4"/>
      <c r="H155" s="4"/>
      <c r="I155" s="4"/>
      <c r="J155" s="4"/>
      <c r="K155" s="4"/>
      <c r="L155" s="4"/>
      <c r="M155" s="4"/>
      <c r="N155" s="5"/>
      <c r="O155" s="4"/>
      <c r="P155" s="4"/>
      <c r="Q155" s="4"/>
      <c r="R155" s="4"/>
      <c r="S155" s="4"/>
      <c r="T155" s="4"/>
      <c r="U155" s="4"/>
      <c r="V155" s="4"/>
      <c r="W155" s="4"/>
      <c r="X155" s="4"/>
      <c r="Y155" s="4"/>
      <c r="Z155" s="4"/>
      <c r="AA155" s="4"/>
      <c r="AB155" s="3"/>
      <c r="AC155" s="3"/>
      <c r="AD155" s="3"/>
      <c r="AZ155" s="3"/>
    </row>
    <row r="156" ht="15.75" customHeight="1">
      <c r="A156" s="4"/>
      <c r="B156" s="4"/>
      <c r="C156" s="4"/>
      <c r="D156" s="4"/>
      <c r="E156" s="3"/>
      <c r="F156" s="4"/>
      <c r="G156" s="4"/>
      <c r="H156" s="4"/>
      <c r="I156" s="4"/>
      <c r="J156" s="4"/>
      <c r="K156" s="4"/>
      <c r="L156" s="4"/>
      <c r="M156" s="4"/>
      <c r="N156" s="5"/>
      <c r="O156" s="4"/>
      <c r="P156" s="4"/>
      <c r="Q156" s="4"/>
      <c r="R156" s="4"/>
      <c r="S156" s="4"/>
      <c r="T156" s="4"/>
      <c r="U156" s="4"/>
      <c r="V156" s="4"/>
      <c r="W156" s="4"/>
      <c r="X156" s="4"/>
      <c r="Y156" s="4"/>
      <c r="Z156" s="4"/>
      <c r="AA156" s="4"/>
      <c r="AB156" s="3"/>
      <c r="AC156" s="3"/>
      <c r="AD156" s="3"/>
      <c r="AZ156" s="3"/>
    </row>
    <row r="157" ht="15.75" customHeight="1">
      <c r="A157" s="4"/>
      <c r="B157" s="4"/>
      <c r="C157" s="4"/>
      <c r="D157" s="4"/>
      <c r="E157" s="3"/>
      <c r="F157" s="4"/>
      <c r="G157" s="4"/>
      <c r="H157" s="4"/>
      <c r="I157" s="4"/>
      <c r="J157" s="4"/>
      <c r="K157" s="4"/>
      <c r="L157" s="4"/>
      <c r="M157" s="4"/>
      <c r="N157" s="5"/>
      <c r="O157" s="4"/>
      <c r="P157" s="4"/>
      <c r="Q157" s="4"/>
      <c r="R157" s="4"/>
      <c r="S157" s="4"/>
      <c r="T157" s="4"/>
      <c r="U157" s="4"/>
      <c r="V157" s="4"/>
      <c r="W157" s="4"/>
      <c r="X157" s="4"/>
      <c r="Y157" s="4"/>
      <c r="Z157" s="4"/>
      <c r="AA157" s="4"/>
      <c r="AB157" s="3"/>
      <c r="AC157" s="3"/>
      <c r="AD157" s="3"/>
      <c r="AZ157" s="3"/>
    </row>
    <row r="158" ht="15.75" customHeight="1">
      <c r="A158" s="4"/>
      <c r="B158" s="4"/>
      <c r="C158" s="4"/>
      <c r="D158" s="4"/>
      <c r="E158" s="3"/>
      <c r="F158" s="4"/>
      <c r="G158" s="4"/>
      <c r="H158" s="4"/>
      <c r="I158" s="4"/>
      <c r="J158" s="4"/>
      <c r="K158" s="4"/>
      <c r="L158" s="4"/>
      <c r="M158" s="4"/>
      <c r="N158" s="5"/>
      <c r="O158" s="4"/>
      <c r="P158" s="4"/>
      <c r="Q158" s="4"/>
      <c r="R158" s="4"/>
      <c r="S158" s="4"/>
      <c r="T158" s="4"/>
      <c r="U158" s="4"/>
      <c r="V158" s="4"/>
      <c r="W158" s="4"/>
      <c r="X158" s="4"/>
      <c r="Y158" s="4"/>
      <c r="Z158" s="4"/>
      <c r="AA158" s="4"/>
      <c r="AB158" s="3"/>
      <c r="AC158" s="3"/>
      <c r="AD158" s="3"/>
      <c r="AZ158" s="3"/>
    </row>
    <row r="159" ht="15.75" customHeight="1">
      <c r="A159" s="4"/>
      <c r="B159" s="4"/>
      <c r="C159" s="4"/>
      <c r="D159" s="4"/>
      <c r="E159" s="3"/>
      <c r="F159" s="4"/>
      <c r="G159" s="4"/>
      <c r="H159" s="4"/>
      <c r="I159" s="4"/>
      <c r="J159" s="4"/>
      <c r="K159" s="4"/>
      <c r="L159" s="4"/>
      <c r="M159" s="4"/>
      <c r="N159" s="5"/>
      <c r="O159" s="4"/>
      <c r="P159" s="4"/>
      <c r="Q159" s="4"/>
      <c r="R159" s="4"/>
      <c r="S159" s="4"/>
      <c r="T159" s="4"/>
      <c r="U159" s="4"/>
      <c r="V159" s="4"/>
      <c r="W159" s="4"/>
      <c r="X159" s="4"/>
      <c r="Y159" s="4"/>
      <c r="Z159" s="4"/>
      <c r="AA159" s="4"/>
      <c r="AB159" s="3"/>
      <c r="AC159" s="3"/>
      <c r="AD159" s="3"/>
      <c r="AZ159" s="3"/>
    </row>
    <row r="160" ht="15.75" customHeight="1">
      <c r="A160" s="4"/>
      <c r="B160" s="4"/>
      <c r="C160" s="4"/>
      <c r="D160" s="4"/>
      <c r="E160" s="3"/>
      <c r="F160" s="4"/>
      <c r="G160" s="4"/>
      <c r="H160" s="4"/>
      <c r="I160" s="4"/>
      <c r="J160" s="4"/>
      <c r="K160" s="4"/>
      <c r="L160" s="4"/>
      <c r="M160" s="4"/>
      <c r="N160" s="5"/>
      <c r="O160" s="4"/>
      <c r="P160" s="4"/>
      <c r="Q160" s="4"/>
      <c r="R160" s="4"/>
      <c r="S160" s="4"/>
      <c r="T160" s="4"/>
      <c r="U160" s="4"/>
      <c r="V160" s="4"/>
      <c r="W160" s="4"/>
      <c r="X160" s="4"/>
      <c r="Y160" s="4"/>
      <c r="Z160" s="4"/>
      <c r="AA160" s="4"/>
      <c r="AB160" s="3"/>
      <c r="AC160" s="3"/>
      <c r="AD160" s="3"/>
      <c r="AZ160" s="3"/>
    </row>
    <row r="161" ht="15.75" customHeight="1">
      <c r="A161" s="4"/>
      <c r="B161" s="4"/>
      <c r="C161" s="4"/>
      <c r="D161" s="4"/>
      <c r="E161" s="3"/>
      <c r="F161" s="4"/>
      <c r="G161" s="4"/>
      <c r="H161" s="4"/>
      <c r="I161" s="4"/>
      <c r="J161" s="4"/>
      <c r="K161" s="4"/>
      <c r="L161" s="4"/>
      <c r="M161" s="4"/>
      <c r="N161" s="5"/>
      <c r="O161" s="4"/>
      <c r="P161" s="4"/>
      <c r="Q161" s="4"/>
      <c r="R161" s="4"/>
      <c r="S161" s="4"/>
      <c r="T161" s="4"/>
      <c r="U161" s="4"/>
      <c r="V161" s="4"/>
      <c r="W161" s="4"/>
      <c r="X161" s="4"/>
      <c r="Y161" s="4"/>
      <c r="Z161" s="4"/>
      <c r="AA161" s="4"/>
      <c r="AB161" s="3"/>
      <c r="AC161" s="3"/>
      <c r="AD161" s="3"/>
      <c r="AZ161" s="3"/>
    </row>
    <row r="162" ht="15.75" customHeight="1">
      <c r="A162" s="4"/>
      <c r="B162" s="4"/>
      <c r="C162" s="4"/>
      <c r="D162" s="4"/>
      <c r="E162" s="3"/>
      <c r="F162" s="4"/>
      <c r="G162" s="4"/>
      <c r="H162" s="4"/>
      <c r="I162" s="4"/>
      <c r="J162" s="4"/>
      <c r="K162" s="4"/>
      <c r="L162" s="4"/>
      <c r="M162" s="4"/>
      <c r="N162" s="5"/>
      <c r="O162" s="4"/>
      <c r="P162" s="4"/>
      <c r="Q162" s="4"/>
      <c r="R162" s="4"/>
      <c r="S162" s="4"/>
      <c r="T162" s="4"/>
      <c r="U162" s="4"/>
      <c r="V162" s="4"/>
      <c r="W162" s="4"/>
      <c r="X162" s="4"/>
      <c r="Y162" s="4"/>
      <c r="Z162" s="4"/>
      <c r="AA162" s="4"/>
      <c r="AB162" s="3"/>
      <c r="AC162" s="3"/>
      <c r="AD162" s="3"/>
      <c r="AZ162" s="3"/>
    </row>
    <row r="163" ht="15.75" customHeight="1">
      <c r="A163" s="4"/>
      <c r="B163" s="4"/>
      <c r="C163" s="4"/>
      <c r="D163" s="4"/>
      <c r="E163" s="3"/>
      <c r="F163" s="4"/>
      <c r="G163" s="4"/>
      <c r="H163" s="4"/>
      <c r="I163" s="4"/>
      <c r="J163" s="4"/>
      <c r="K163" s="4"/>
      <c r="L163" s="4"/>
      <c r="M163" s="4"/>
      <c r="N163" s="5"/>
      <c r="O163" s="4"/>
      <c r="P163" s="4"/>
      <c r="Q163" s="4"/>
      <c r="R163" s="4"/>
      <c r="S163" s="4"/>
      <c r="T163" s="4"/>
      <c r="U163" s="4"/>
      <c r="V163" s="4"/>
      <c r="W163" s="4"/>
      <c r="X163" s="4"/>
      <c r="Y163" s="4"/>
      <c r="Z163" s="4"/>
      <c r="AA163" s="4"/>
      <c r="AB163" s="3"/>
      <c r="AC163" s="3"/>
      <c r="AD163" s="3"/>
      <c r="AZ163" s="3"/>
    </row>
    <row r="164" ht="15.75" customHeight="1">
      <c r="A164" s="4"/>
      <c r="B164" s="4"/>
      <c r="C164" s="4"/>
      <c r="D164" s="4"/>
      <c r="E164" s="3"/>
      <c r="F164" s="4"/>
      <c r="G164" s="4"/>
      <c r="H164" s="4"/>
      <c r="I164" s="4"/>
      <c r="J164" s="4"/>
      <c r="K164" s="4"/>
      <c r="L164" s="4"/>
      <c r="M164" s="4"/>
      <c r="N164" s="5"/>
      <c r="O164" s="4"/>
      <c r="P164" s="4"/>
      <c r="Q164" s="4"/>
      <c r="R164" s="4"/>
      <c r="S164" s="4"/>
      <c r="T164" s="4"/>
      <c r="U164" s="4"/>
      <c r="V164" s="4"/>
      <c r="W164" s="4"/>
      <c r="X164" s="4"/>
      <c r="Y164" s="4"/>
      <c r="Z164" s="4"/>
      <c r="AA164" s="4"/>
      <c r="AB164" s="3"/>
      <c r="AC164" s="3"/>
      <c r="AD164" s="3"/>
      <c r="AZ164" s="3"/>
    </row>
    <row r="165" ht="15.75" customHeight="1">
      <c r="A165" s="4"/>
      <c r="B165" s="4"/>
      <c r="C165" s="4"/>
      <c r="D165" s="4"/>
      <c r="E165" s="3"/>
      <c r="F165" s="4"/>
      <c r="G165" s="4"/>
      <c r="H165" s="4"/>
      <c r="I165" s="4"/>
      <c r="J165" s="4"/>
      <c r="K165" s="4"/>
      <c r="L165" s="4"/>
      <c r="M165" s="4"/>
      <c r="N165" s="5"/>
      <c r="O165" s="4"/>
      <c r="P165" s="4"/>
      <c r="Q165" s="4"/>
      <c r="R165" s="4"/>
      <c r="S165" s="4"/>
      <c r="T165" s="4"/>
      <c r="U165" s="4"/>
      <c r="V165" s="4"/>
      <c r="W165" s="4"/>
      <c r="X165" s="4"/>
      <c r="Y165" s="4"/>
      <c r="Z165" s="4"/>
      <c r="AA165" s="4"/>
      <c r="AB165" s="3"/>
      <c r="AC165" s="3"/>
      <c r="AD165" s="3"/>
      <c r="AZ165" s="3"/>
    </row>
    <row r="166" ht="15.75" customHeight="1">
      <c r="A166" s="4"/>
      <c r="B166" s="4"/>
      <c r="C166" s="4"/>
      <c r="D166" s="4"/>
      <c r="E166" s="3"/>
      <c r="F166" s="4"/>
      <c r="G166" s="4"/>
      <c r="H166" s="4"/>
      <c r="I166" s="4"/>
      <c r="J166" s="4"/>
      <c r="K166" s="4"/>
      <c r="L166" s="4"/>
      <c r="M166" s="4"/>
      <c r="N166" s="5"/>
      <c r="O166" s="4"/>
      <c r="P166" s="4"/>
      <c r="Q166" s="4"/>
      <c r="R166" s="4"/>
      <c r="S166" s="4"/>
      <c r="T166" s="4"/>
      <c r="U166" s="4"/>
      <c r="V166" s="4"/>
      <c r="W166" s="4"/>
      <c r="X166" s="4"/>
      <c r="Y166" s="4"/>
      <c r="Z166" s="4"/>
      <c r="AA166" s="4"/>
      <c r="AB166" s="3"/>
      <c r="AC166" s="3"/>
      <c r="AD166" s="3"/>
      <c r="AZ166" s="3"/>
    </row>
    <row r="167" ht="15.75" customHeight="1">
      <c r="A167" s="4"/>
      <c r="B167" s="4"/>
      <c r="C167" s="4"/>
      <c r="D167" s="4"/>
      <c r="E167" s="3"/>
      <c r="F167" s="4"/>
      <c r="G167" s="4"/>
      <c r="H167" s="4"/>
      <c r="I167" s="4"/>
      <c r="J167" s="4"/>
      <c r="K167" s="4"/>
      <c r="L167" s="4"/>
      <c r="M167" s="4"/>
      <c r="N167" s="5"/>
      <c r="O167" s="4"/>
      <c r="P167" s="4"/>
      <c r="Q167" s="4"/>
      <c r="R167" s="4"/>
      <c r="S167" s="4"/>
      <c r="T167" s="4"/>
      <c r="U167" s="4"/>
      <c r="V167" s="4"/>
      <c r="W167" s="4"/>
      <c r="X167" s="4"/>
      <c r="Y167" s="4"/>
      <c r="Z167" s="4"/>
      <c r="AA167" s="4"/>
      <c r="AB167" s="3"/>
      <c r="AC167" s="3"/>
      <c r="AD167" s="3"/>
      <c r="AZ167" s="3"/>
    </row>
    <row r="168" ht="15.75" customHeight="1">
      <c r="A168" s="4"/>
      <c r="B168" s="4"/>
      <c r="C168" s="4"/>
      <c r="D168" s="4"/>
      <c r="E168" s="3"/>
      <c r="F168" s="4"/>
      <c r="G168" s="4"/>
      <c r="H168" s="4"/>
      <c r="I168" s="4"/>
      <c r="J168" s="4"/>
      <c r="K168" s="4"/>
      <c r="L168" s="4"/>
      <c r="M168" s="4"/>
      <c r="N168" s="5"/>
      <c r="O168" s="4"/>
      <c r="P168" s="4"/>
      <c r="Q168" s="4"/>
      <c r="R168" s="4"/>
      <c r="S168" s="4"/>
      <c r="T168" s="4"/>
      <c r="U168" s="4"/>
      <c r="V168" s="4"/>
      <c r="W168" s="4"/>
      <c r="X168" s="4"/>
      <c r="Y168" s="4"/>
      <c r="Z168" s="4"/>
      <c r="AA168" s="4"/>
      <c r="AB168" s="3"/>
      <c r="AC168" s="3"/>
      <c r="AD168" s="3"/>
      <c r="AZ168" s="3"/>
    </row>
    <row r="169" ht="15.75" customHeight="1">
      <c r="A169" s="4"/>
      <c r="B169" s="4"/>
      <c r="C169" s="4"/>
      <c r="D169" s="4"/>
      <c r="E169" s="3"/>
      <c r="F169" s="4"/>
      <c r="G169" s="4"/>
      <c r="H169" s="4"/>
      <c r="I169" s="4"/>
      <c r="J169" s="4"/>
      <c r="K169" s="4"/>
      <c r="L169" s="4"/>
      <c r="M169" s="4"/>
      <c r="N169" s="5"/>
      <c r="O169" s="4"/>
      <c r="P169" s="4"/>
      <c r="Q169" s="4"/>
      <c r="R169" s="4"/>
      <c r="S169" s="4"/>
      <c r="T169" s="4"/>
      <c r="U169" s="4"/>
      <c r="V169" s="4"/>
      <c r="W169" s="4"/>
      <c r="X169" s="4"/>
      <c r="Y169" s="4"/>
      <c r="Z169" s="4"/>
      <c r="AA169" s="4"/>
      <c r="AB169" s="3"/>
      <c r="AC169" s="3"/>
      <c r="AD169" s="3"/>
      <c r="AZ169" s="3"/>
    </row>
    <row r="170" ht="15.75" customHeight="1">
      <c r="A170" s="4"/>
      <c r="B170" s="4"/>
      <c r="C170" s="4"/>
      <c r="D170" s="4"/>
      <c r="E170" s="3"/>
      <c r="F170" s="4"/>
      <c r="G170" s="4"/>
      <c r="H170" s="4"/>
      <c r="I170" s="4"/>
      <c r="J170" s="4"/>
      <c r="K170" s="4"/>
      <c r="L170" s="4"/>
      <c r="M170" s="4"/>
      <c r="N170" s="5"/>
      <c r="O170" s="4"/>
      <c r="P170" s="4"/>
      <c r="Q170" s="4"/>
      <c r="R170" s="4"/>
      <c r="S170" s="4"/>
      <c r="T170" s="4"/>
      <c r="U170" s="4"/>
      <c r="V170" s="4"/>
      <c r="W170" s="4"/>
      <c r="X170" s="4"/>
      <c r="Y170" s="4"/>
      <c r="Z170" s="4"/>
      <c r="AA170" s="4"/>
      <c r="AB170" s="3"/>
      <c r="AC170" s="3"/>
      <c r="AD170" s="3"/>
      <c r="AZ170" s="3"/>
    </row>
    <row r="171" ht="15.75" customHeight="1">
      <c r="A171" s="4"/>
      <c r="B171" s="4"/>
      <c r="C171" s="4"/>
      <c r="D171" s="4"/>
      <c r="E171" s="3"/>
      <c r="F171" s="4"/>
      <c r="G171" s="4"/>
      <c r="H171" s="4"/>
      <c r="I171" s="4"/>
      <c r="J171" s="4"/>
      <c r="K171" s="4"/>
      <c r="L171" s="4"/>
      <c r="M171" s="4"/>
      <c r="N171" s="5"/>
      <c r="O171" s="4"/>
      <c r="P171" s="4"/>
      <c r="Q171" s="4"/>
      <c r="R171" s="4"/>
      <c r="S171" s="4"/>
      <c r="T171" s="4"/>
      <c r="U171" s="4"/>
      <c r="V171" s="4"/>
      <c r="W171" s="4"/>
      <c r="X171" s="4"/>
      <c r="Y171" s="4"/>
      <c r="Z171" s="4"/>
      <c r="AA171" s="4"/>
      <c r="AB171" s="3"/>
      <c r="AC171" s="3"/>
      <c r="AD171" s="3"/>
      <c r="AZ171" s="3"/>
    </row>
    <row r="172" ht="15.75" customHeight="1">
      <c r="A172" s="4"/>
      <c r="B172" s="4"/>
      <c r="C172" s="4"/>
      <c r="D172" s="4"/>
      <c r="E172" s="3"/>
      <c r="F172" s="4"/>
      <c r="G172" s="4"/>
      <c r="H172" s="4"/>
      <c r="I172" s="4"/>
      <c r="J172" s="4"/>
      <c r="K172" s="4"/>
      <c r="L172" s="4"/>
      <c r="M172" s="4"/>
      <c r="N172" s="5"/>
      <c r="O172" s="4"/>
      <c r="P172" s="4"/>
      <c r="Q172" s="4"/>
      <c r="R172" s="4"/>
      <c r="S172" s="4"/>
      <c r="T172" s="4"/>
      <c r="U172" s="4"/>
      <c r="V172" s="4"/>
      <c r="W172" s="4"/>
      <c r="X172" s="4"/>
      <c r="Y172" s="4"/>
      <c r="Z172" s="4"/>
      <c r="AA172" s="4"/>
      <c r="AB172" s="3"/>
      <c r="AC172" s="3"/>
      <c r="AD172" s="3"/>
      <c r="AZ172" s="3"/>
    </row>
    <row r="173" ht="15.75" customHeight="1">
      <c r="A173" s="4"/>
      <c r="B173" s="4"/>
      <c r="C173" s="4"/>
      <c r="D173" s="4"/>
      <c r="E173" s="3"/>
      <c r="F173" s="4"/>
      <c r="G173" s="4"/>
      <c r="H173" s="4"/>
      <c r="I173" s="4"/>
      <c r="J173" s="4"/>
      <c r="K173" s="4"/>
      <c r="L173" s="4"/>
      <c r="M173" s="4"/>
      <c r="N173" s="5"/>
      <c r="O173" s="4"/>
      <c r="P173" s="4"/>
      <c r="Q173" s="4"/>
      <c r="R173" s="4"/>
      <c r="S173" s="4"/>
      <c r="T173" s="4"/>
      <c r="U173" s="4"/>
      <c r="V173" s="4"/>
      <c r="W173" s="4"/>
      <c r="X173" s="4"/>
      <c r="Y173" s="4"/>
      <c r="Z173" s="4"/>
      <c r="AA173" s="4"/>
      <c r="AB173" s="3"/>
      <c r="AC173" s="3"/>
      <c r="AD173" s="3"/>
      <c r="AZ173" s="3"/>
    </row>
    <row r="174" ht="15.75" customHeight="1">
      <c r="A174" s="4"/>
      <c r="B174" s="4"/>
      <c r="C174" s="4"/>
      <c r="D174" s="4"/>
      <c r="E174" s="3"/>
      <c r="F174" s="4"/>
      <c r="G174" s="4"/>
      <c r="H174" s="4"/>
      <c r="I174" s="4"/>
      <c r="J174" s="4"/>
      <c r="K174" s="4"/>
      <c r="L174" s="4"/>
      <c r="M174" s="4"/>
      <c r="N174" s="5"/>
      <c r="O174" s="4"/>
      <c r="P174" s="4"/>
      <c r="Q174" s="4"/>
      <c r="R174" s="4"/>
      <c r="S174" s="4"/>
      <c r="T174" s="4"/>
      <c r="U174" s="4"/>
      <c r="V174" s="4"/>
      <c r="W174" s="4"/>
      <c r="X174" s="4"/>
      <c r="Y174" s="4"/>
      <c r="Z174" s="4"/>
      <c r="AA174" s="4"/>
      <c r="AB174" s="3"/>
      <c r="AC174" s="3"/>
      <c r="AD174" s="3"/>
      <c r="AZ174" s="3"/>
    </row>
    <row r="175" ht="15.75" customHeight="1">
      <c r="A175" s="4"/>
      <c r="B175" s="4"/>
      <c r="C175" s="4"/>
      <c r="D175" s="4"/>
      <c r="E175" s="3"/>
      <c r="F175" s="4"/>
      <c r="G175" s="4"/>
      <c r="H175" s="4"/>
      <c r="I175" s="4"/>
      <c r="J175" s="4"/>
      <c r="K175" s="4"/>
      <c r="L175" s="4"/>
      <c r="M175" s="4"/>
      <c r="N175" s="5"/>
      <c r="O175" s="4"/>
      <c r="P175" s="4"/>
      <c r="Q175" s="4"/>
      <c r="R175" s="4"/>
      <c r="S175" s="4"/>
      <c r="T175" s="4"/>
      <c r="U175" s="4"/>
      <c r="V175" s="4"/>
      <c r="W175" s="4"/>
      <c r="X175" s="4"/>
      <c r="Y175" s="4"/>
      <c r="Z175" s="4"/>
      <c r="AA175" s="4"/>
      <c r="AB175" s="3"/>
      <c r="AC175" s="3"/>
      <c r="AD175" s="3"/>
      <c r="AZ175" s="3"/>
    </row>
    <row r="176" ht="15.75" customHeight="1">
      <c r="A176" s="4"/>
      <c r="B176" s="4"/>
      <c r="C176" s="4"/>
      <c r="D176" s="4"/>
      <c r="E176" s="3"/>
      <c r="F176" s="4"/>
      <c r="G176" s="4"/>
      <c r="H176" s="4"/>
      <c r="I176" s="4"/>
      <c r="J176" s="4"/>
      <c r="K176" s="4"/>
      <c r="L176" s="4"/>
      <c r="M176" s="4"/>
      <c r="N176" s="5"/>
      <c r="O176" s="4"/>
      <c r="P176" s="4"/>
      <c r="Q176" s="4"/>
      <c r="R176" s="4"/>
      <c r="S176" s="4"/>
      <c r="T176" s="4"/>
      <c r="U176" s="4"/>
      <c r="V176" s="4"/>
      <c r="W176" s="4"/>
      <c r="X176" s="4"/>
      <c r="Y176" s="4"/>
      <c r="Z176" s="4"/>
      <c r="AA176" s="4"/>
      <c r="AB176" s="3"/>
      <c r="AC176" s="3"/>
      <c r="AD176" s="3"/>
      <c r="AZ176" s="3"/>
    </row>
    <row r="177" ht="15.75" customHeight="1">
      <c r="A177" s="4"/>
      <c r="B177" s="4"/>
      <c r="C177" s="4"/>
      <c r="D177" s="4"/>
      <c r="E177" s="3"/>
      <c r="F177" s="4"/>
      <c r="G177" s="4"/>
      <c r="H177" s="4"/>
      <c r="I177" s="4"/>
      <c r="J177" s="4"/>
      <c r="K177" s="4"/>
      <c r="L177" s="4"/>
      <c r="M177" s="4"/>
      <c r="N177" s="5"/>
      <c r="O177" s="4"/>
      <c r="P177" s="4"/>
      <c r="Q177" s="4"/>
      <c r="R177" s="4"/>
      <c r="S177" s="4"/>
      <c r="T177" s="4"/>
      <c r="U177" s="4"/>
      <c r="V177" s="4"/>
      <c r="W177" s="4"/>
      <c r="X177" s="4"/>
      <c r="Y177" s="4"/>
      <c r="Z177" s="4"/>
      <c r="AA177" s="4"/>
      <c r="AB177" s="3"/>
      <c r="AC177" s="3"/>
      <c r="AD177" s="3"/>
      <c r="AZ177" s="3"/>
    </row>
    <row r="178" ht="15.75" customHeight="1">
      <c r="A178" s="4"/>
      <c r="B178" s="4"/>
      <c r="C178" s="4"/>
      <c r="D178" s="4"/>
      <c r="E178" s="3"/>
      <c r="F178" s="4"/>
      <c r="G178" s="4"/>
      <c r="H178" s="4"/>
      <c r="I178" s="4"/>
      <c r="J178" s="4"/>
      <c r="K178" s="4"/>
      <c r="L178" s="4"/>
      <c r="M178" s="4"/>
      <c r="N178" s="5"/>
      <c r="O178" s="4"/>
      <c r="P178" s="4"/>
      <c r="Q178" s="4"/>
      <c r="R178" s="4"/>
      <c r="S178" s="4"/>
      <c r="T178" s="4"/>
      <c r="U178" s="4"/>
      <c r="V178" s="4"/>
      <c r="W178" s="4"/>
      <c r="X178" s="4"/>
      <c r="Y178" s="4"/>
      <c r="Z178" s="4"/>
      <c r="AA178" s="4"/>
      <c r="AB178" s="3"/>
      <c r="AC178" s="3"/>
      <c r="AD178" s="3"/>
      <c r="AZ178" s="3"/>
    </row>
    <row r="179" ht="15.75" customHeight="1">
      <c r="A179" s="4"/>
      <c r="B179" s="4"/>
      <c r="C179" s="4"/>
      <c r="D179" s="4"/>
      <c r="E179" s="3"/>
      <c r="F179" s="4"/>
      <c r="G179" s="4"/>
      <c r="H179" s="4"/>
      <c r="I179" s="4"/>
      <c r="J179" s="4"/>
      <c r="K179" s="4"/>
      <c r="L179" s="4"/>
      <c r="M179" s="4"/>
      <c r="N179" s="5"/>
      <c r="O179" s="4"/>
      <c r="P179" s="4"/>
      <c r="Q179" s="4"/>
      <c r="R179" s="4"/>
      <c r="S179" s="4"/>
      <c r="T179" s="4"/>
      <c r="U179" s="4"/>
      <c r="V179" s="4"/>
      <c r="W179" s="4"/>
      <c r="X179" s="4"/>
      <c r="Y179" s="4"/>
      <c r="Z179" s="4"/>
      <c r="AA179" s="4"/>
      <c r="AB179" s="3"/>
      <c r="AC179" s="3"/>
      <c r="AD179" s="3"/>
      <c r="AZ179" s="3"/>
    </row>
    <row r="180" ht="15.75" customHeight="1">
      <c r="A180" s="4"/>
      <c r="B180" s="4"/>
      <c r="C180" s="4"/>
      <c r="D180" s="4"/>
      <c r="E180" s="3"/>
      <c r="F180" s="4"/>
      <c r="G180" s="4"/>
      <c r="H180" s="4"/>
      <c r="I180" s="4"/>
      <c r="J180" s="4"/>
      <c r="K180" s="4"/>
      <c r="L180" s="4"/>
      <c r="M180" s="4"/>
      <c r="N180" s="5"/>
      <c r="O180" s="4"/>
      <c r="P180" s="4"/>
      <c r="Q180" s="4"/>
      <c r="R180" s="4"/>
      <c r="S180" s="4"/>
      <c r="T180" s="4"/>
      <c r="U180" s="4"/>
      <c r="V180" s="4"/>
      <c r="W180" s="4"/>
      <c r="X180" s="4"/>
      <c r="Y180" s="4"/>
      <c r="Z180" s="4"/>
      <c r="AA180" s="4"/>
      <c r="AB180" s="3"/>
      <c r="AC180" s="3"/>
      <c r="AD180" s="3"/>
      <c r="AZ180" s="3"/>
    </row>
    <row r="181" ht="15.75" customHeight="1">
      <c r="A181" s="4"/>
      <c r="B181" s="4"/>
      <c r="C181" s="4"/>
      <c r="D181" s="4"/>
      <c r="E181" s="3"/>
      <c r="F181" s="4"/>
      <c r="G181" s="4"/>
      <c r="H181" s="4"/>
      <c r="I181" s="4"/>
      <c r="J181" s="4"/>
      <c r="K181" s="4"/>
      <c r="L181" s="4"/>
      <c r="M181" s="4"/>
      <c r="N181" s="5"/>
      <c r="O181" s="4"/>
      <c r="P181" s="4"/>
      <c r="Q181" s="4"/>
      <c r="R181" s="4"/>
      <c r="S181" s="4"/>
      <c r="T181" s="4"/>
      <c r="U181" s="4"/>
      <c r="V181" s="4"/>
      <c r="W181" s="4"/>
      <c r="X181" s="4"/>
      <c r="Y181" s="4"/>
      <c r="Z181" s="4"/>
      <c r="AA181" s="4"/>
      <c r="AB181" s="3"/>
      <c r="AC181" s="3"/>
      <c r="AD181" s="3"/>
      <c r="AZ181" s="3"/>
    </row>
    <row r="182" ht="15.75" customHeight="1">
      <c r="A182" s="4"/>
      <c r="B182" s="4"/>
      <c r="C182" s="4"/>
      <c r="D182" s="4"/>
      <c r="E182" s="3"/>
      <c r="F182" s="4"/>
      <c r="G182" s="4"/>
      <c r="H182" s="4"/>
      <c r="I182" s="4"/>
      <c r="J182" s="4"/>
      <c r="K182" s="4"/>
      <c r="L182" s="4"/>
      <c r="M182" s="4"/>
      <c r="N182" s="5"/>
      <c r="O182" s="4"/>
      <c r="P182" s="4"/>
      <c r="Q182" s="4"/>
      <c r="R182" s="4"/>
      <c r="S182" s="4"/>
      <c r="T182" s="4"/>
      <c r="U182" s="4"/>
      <c r="V182" s="4"/>
      <c r="W182" s="4"/>
      <c r="X182" s="4"/>
      <c r="Y182" s="4"/>
      <c r="Z182" s="4"/>
      <c r="AA182" s="4"/>
      <c r="AB182" s="3"/>
      <c r="AC182" s="3"/>
      <c r="AD182" s="3"/>
      <c r="AZ182" s="3"/>
    </row>
    <row r="183" ht="15.75" customHeight="1">
      <c r="A183" s="4"/>
      <c r="B183" s="4"/>
      <c r="C183" s="4"/>
      <c r="D183" s="4"/>
      <c r="E183" s="3"/>
      <c r="F183" s="4"/>
      <c r="G183" s="4"/>
      <c r="H183" s="4"/>
      <c r="I183" s="4"/>
      <c r="J183" s="4"/>
      <c r="K183" s="4"/>
      <c r="L183" s="4"/>
      <c r="M183" s="4"/>
      <c r="N183" s="5"/>
      <c r="O183" s="4"/>
      <c r="P183" s="4"/>
      <c r="Q183" s="4"/>
      <c r="R183" s="4"/>
      <c r="S183" s="4"/>
      <c r="T183" s="4"/>
      <c r="U183" s="4"/>
      <c r="V183" s="4"/>
      <c r="W183" s="4"/>
      <c r="X183" s="4"/>
      <c r="Y183" s="4"/>
      <c r="Z183" s="4"/>
      <c r="AA183" s="4"/>
      <c r="AB183" s="3"/>
      <c r="AC183" s="3"/>
      <c r="AD183" s="3"/>
      <c r="AZ183" s="3"/>
    </row>
    <row r="184" ht="15.75" customHeight="1">
      <c r="A184" s="4"/>
      <c r="B184" s="4"/>
      <c r="C184" s="4"/>
      <c r="D184" s="4"/>
      <c r="E184" s="3"/>
      <c r="F184" s="4"/>
      <c r="G184" s="4"/>
      <c r="H184" s="4"/>
      <c r="I184" s="4"/>
      <c r="J184" s="4"/>
      <c r="K184" s="4"/>
      <c r="L184" s="4"/>
      <c r="M184" s="4"/>
      <c r="N184" s="5"/>
      <c r="O184" s="4"/>
      <c r="P184" s="4"/>
      <c r="Q184" s="4"/>
      <c r="R184" s="4"/>
      <c r="S184" s="4"/>
      <c r="T184" s="4"/>
      <c r="U184" s="4"/>
      <c r="V184" s="4"/>
      <c r="W184" s="4"/>
      <c r="X184" s="4"/>
      <c r="Y184" s="4"/>
      <c r="Z184" s="4"/>
      <c r="AA184" s="4"/>
      <c r="AB184" s="3"/>
      <c r="AC184" s="3"/>
      <c r="AD184" s="3"/>
      <c r="AZ184" s="3"/>
    </row>
    <row r="185" ht="15.75" customHeight="1">
      <c r="A185" s="4"/>
      <c r="B185" s="4"/>
      <c r="C185" s="4"/>
      <c r="D185" s="4"/>
      <c r="E185" s="3"/>
      <c r="F185" s="4"/>
      <c r="G185" s="4"/>
      <c r="H185" s="4"/>
      <c r="I185" s="4"/>
      <c r="J185" s="4"/>
      <c r="K185" s="4"/>
      <c r="L185" s="4"/>
      <c r="M185" s="4"/>
      <c r="N185" s="5"/>
      <c r="O185" s="4"/>
      <c r="P185" s="4"/>
      <c r="Q185" s="4"/>
      <c r="R185" s="4"/>
      <c r="S185" s="4"/>
      <c r="T185" s="4"/>
      <c r="U185" s="4"/>
      <c r="V185" s="4"/>
      <c r="W185" s="4"/>
      <c r="X185" s="4"/>
      <c r="Y185" s="4"/>
      <c r="Z185" s="4"/>
      <c r="AA185" s="4"/>
      <c r="AB185" s="3"/>
      <c r="AC185" s="3"/>
      <c r="AD185" s="3"/>
      <c r="AZ185" s="3"/>
    </row>
    <row r="186" ht="15.75" customHeight="1">
      <c r="A186" s="4"/>
      <c r="B186" s="4"/>
      <c r="C186" s="4"/>
      <c r="D186" s="4"/>
      <c r="E186" s="3"/>
      <c r="F186" s="4"/>
      <c r="G186" s="4"/>
      <c r="H186" s="4"/>
      <c r="I186" s="4"/>
      <c r="J186" s="4"/>
      <c r="K186" s="4"/>
      <c r="L186" s="4"/>
      <c r="M186" s="4"/>
      <c r="N186" s="5"/>
      <c r="O186" s="4"/>
      <c r="P186" s="4"/>
      <c r="Q186" s="4"/>
      <c r="R186" s="4"/>
      <c r="S186" s="4"/>
      <c r="T186" s="4"/>
      <c r="U186" s="4"/>
      <c r="V186" s="4"/>
      <c r="W186" s="4"/>
      <c r="X186" s="4"/>
      <c r="Y186" s="4"/>
      <c r="Z186" s="4"/>
      <c r="AA186" s="4"/>
      <c r="AB186" s="3"/>
      <c r="AC186" s="3"/>
      <c r="AD186" s="3"/>
      <c r="AZ186" s="3"/>
    </row>
    <row r="187" ht="15.75" customHeight="1">
      <c r="A187" s="4"/>
      <c r="B187" s="4"/>
      <c r="C187" s="4"/>
      <c r="D187" s="4"/>
      <c r="E187" s="3"/>
      <c r="F187" s="4"/>
      <c r="G187" s="4"/>
      <c r="H187" s="4"/>
      <c r="I187" s="4"/>
      <c r="J187" s="4"/>
      <c r="K187" s="4"/>
      <c r="L187" s="4"/>
      <c r="M187" s="4"/>
      <c r="N187" s="5"/>
      <c r="O187" s="4"/>
      <c r="P187" s="4"/>
      <c r="Q187" s="4"/>
      <c r="R187" s="4"/>
      <c r="S187" s="4"/>
      <c r="T187" s="4"/>
      <c r="U187" s="4"/>
      <c r="V187" s="4"/>
      <c r="W187" s="4"/>
      <c r="X187" s="4"/>
      <c r="Y187" s="4"/>
      <c r="Z187" s="4"/>
      <c r="AA187" s="4"/>
      <c r="AB187" s="3"/>
      <c r="AC187" s="3"/>
      <c r="AD187" s="3"/>
      <c r="AZ187" s="3"/>
    </row>
    <row r="188" ht="15.75" customHeight="1">
      <c r="A188" s="4"/>
      <c r="B188" s="4"/>
      <c r="C188" s="4"/>
      <c r="D188" s="4"/>
      <c r="E188" s="3"/>
      <c r="F188" s="4"/>
      <c r="G188" s="4"/>
      <c r="H188" s="4"/>
      <c r="I188" s="4"/>
      <c r="J188" s="4"/>
      <c r="K188" s="4"/>
      <c r="L188" s="4"/>
      <c r="M188" s="4"/>
      <c r="N188" s="5"/>
      <c r="O188" s="4"/>
      <c r="P188" s="4"/>
      <c r="Q188" s="4"/>
      <c r="R188" s="4"/>
      <c r="S188" s="4"/>
      <c r="T188" s="4"/>
      <c r="U188" s="4"/>
      <c r="V188" s="4"/>
      <c r="W188" s="4"/>
      <c r="X188" s="4"/>
      <c r="Y188" s="4"/>
      <c r="Z188" s="4"/>
      <c r="AA188" s="4"/>
      <c r="AB188" s="3"/>
      <c r="AC188" s="3"/>
      <c r="AD188" s="3"/>
      <c r="AZ188" s="3"/>
    </row>
    <row r="189" ht="15.75" customHeight="1">
      <c r="A189" s="4"/>
      <c r="B189" s="4"/>
      <c r="C189" s="4"/>
      <c r="D189" s="4"/>
      <c r="E189" s="3"/>
      <c r="F189" s="4"/>
      <c r="G189" s="4"/>
      <c r="H189" s="4"/>
      <c r="I189" s="4"/>
      <c r="J189" s="4"/>
      <c r="K189" s="4"/>
      <c r="L189" s="4"/>
      <c r="M189" s="4"/>
      <c r="N189" s="5"/>
      <c r="O189" s="4"/>
      <c r="P189" s="4"/>
      <c r="Q189" s="4"/>
      <c r="R189" s="4"/>
      <c r="S189" s="4"/>
      <c r="T189" s="4"/>
      <c r="U189" s="4"/>
      <c r="V189" s="4"/>
      <c r="W189" s="4"/>
      <c r="X189" s="4"/>
      <c r="Y189" s="4"/>
      <c r="Z189" s="4"/>
      <c r="AA189" s="4"/>
      <c r="AB189" s="3"/>
      <c r="AC189" s="3"/>
      <c r="AD189" s="3"/>
      <c r="AZ189" s="3"/>
    </row>
    <row r="190" ht="15.75" customHeight="1">
      <c r="A190" s="4"/>
      <c r="B190" s="4"/>
      <c r="C190" s="4"/>
      <c r="D190" s="4"/>
      <c r="E190" s="3"/>
      <c r="F190" s="4"/>
      <c r="G190" s="4"/>
      <c r="H190" s="4"/>
      <c r="I190" s="4"/>
      <c r="J190" s="4"/>
      <c r="K190" s="4"/>
      <c r="L190" s="4"/>
      <c r="M190" s="4"/>
      <c r="N190" s="5"/>
      <c r="O190" s="4"/>
      <c r="P190" s="4"/>
      <c r="Q190" s="4"/>
      <c r="R190" s="4"/>
      <c r="S190" s="4"/>
      <c r="T190" s="4"/>
      <c r="U190" s="4"/>
      <c r="V190" s="4"/>
      <c r="W190" s="4"/>
      <c r="X190" s="4"/>
      <c r="Y190" s="4"/>
      <c r="Z190" s="4"/>
      <c r="AA190" s="4"/>
      <c r="AB190" s="3"/>
      <c r="AC190" s="3"/>
      <c r="AD190" s="3"/>
      <c r="AZ190" s="3"/>
    </row>
    <row r="191" ht="15.75" customHeight="1">
      <c r="A191" s="4"/>
      <c r="B191" s="4"/>
      <c r="C191" s="4"/>
      <c r="D191" s="4"/>
      <c r="E191" s="3"/>
      <c r="F191" s="4"/>
      <c r="G191" s="4"/>
      <c r="H191" s="4"/>
      <c r="I191" s="4"/>
      <c r="J191" s="4"/>
      <c r="K191" s="4"/>
      <c r="L191" s="4"/>
      <c r="M191" s="4"/>
      <c r="N191" s="5"/>
      <c r="O191" s="4"/>
      <c r="P191" s="4"/>
      <c r="Q191" s="4"/>
      <c r="R191" s="4"/>
      <c r="S191" s="4"/>
      <c r="T191" s="4"/>
      <c r="U191" s="4"/>
      <c r="V191" s="4"/>
      <c r="W191" s="4"/>
      <c r="X191" s="4"/>
      <c r="Y191" s="4"/>
      <c r="Z191" s="4"/>
      <c r="AA191" s="4"/>
      <c r="AB191" s="3"/>
      <c r="AC191" s="3"/>
      <c r="AD191" s="3"/>
      <c r="AZ191" s="3"/>
    </row>
    <row r="192" ht="15.75" customHeight="1">
      <c r="A192" s="4"/>
      <c r="B192" s="4"/>
      <c r="C192" s="4"/>
      <c r="D192" s="4"/>
      <c r="E192" s="3"/>
      <c r="F192" s="4"/>
      <c r="G192" s="4"/>
      <c r="H192" s="4"/>
      <c r="I192" s="4"/>
      <c r="J192" s="4"/>
      <c r="K192" s="4"/>
      <c r="L192" s="4"/>
      <c r="M192" s="4"/>
      <c r="N192" s="5"/>
      <c r="O192" s="4"/>
      <c r="P192" s="4"/>
      <c r="Q192" s="4"/>
      <c r="R192" s="4"/>
      <c r="S192" s="4"/>
      <c r="T192" s="4"/>
      <c r="U192" s="4"/>
      <c r="V192" s="4"/>
      <c r="W192" s="4"/>
      <c r="X192" s="4"/>
      <c r="Y192" s="4"/>
      <c r="Z192" s="4"/>
      <c r="AA192" s="4"/>
      <c r="AB192" s="3"/>
      <c r="AC192" s="3"/>
      <c r="AD192" s="3"/>
      <c r="AZ192" s="3"/>
    </row>
    <row r="193" ht="15.75" customHeight="1">
      <c r="A193" s="4"/>
      <c r="B193" s="4"/>
      <c r="C193" s="4"/>
      <c r="D193" s="4"/>
      <c r="E193" s="3"/>
      <c r="F193" s="4"/>
      <c r="G193" s="4"/>
      <c r="H193" s="4"/>
      <c r="I193" s="4"/>
      <c r="J193" s="4"/>
      <c r="K193" s="4"/>
      <c r="L193" s="4"/>
      <c r="M193" s="4"/>
      <c r="N193" s="5"/>
      <c r="O193" s="4"/>
      <c r="P193" s="4"/>
      <c r="Q193" s="4"/>
      <c r="R193" s="4"/>
      <c r="S193" s="4"/>
      <c r="T193" s="4"/>
      <c r="U193" s="4"/>
      <c r="V193" s="4"/>
      <c r="W193" s="4"/>
      <c r="X193" s="4"/>
      <c r="Y193" s="4"/>
      <c r="Z193" s="4"/>
      <c r="AA193" s="4"/>
      <c r="AB193" s="3"/>
      <c r="AC193" s="3"/>
      <c r="AD193" s="3"/>
      <c r="AZ193" s="3"/>
    </row>
    <row r="194" ht="15.75" customHeight="1">
      <c r="A194" s="4"/>
      <c r="B194" s="4"/>
      <c r="C194" s="4"/>
      <c r="D194" s="4"/>
      <c r="E194" s="3"/>
      <c r="F194" s="4"/>
      <c r="G194" s="4"/>
      <c r="H194" s="4"/>
      <c r="I194" s="4"/>
      <c r="J194" s="4"/>
      <c r="K194" s="4"/>
      <c r="L194" s="4"/>
      <c r="M194" s="4"/>
      <c r="N194" s="5"/>
      <c r="O194" s="4"/>
      <c r="P194" s="4"/>
      <c r="Q194" s="4"/>
      <c r="R194" s="4"/>
      <c r="S194" s="4"/>
      <c r="T194" s="4"/>
      <c r="U194" s="4"/>
      <c r="V194" s="4"/>
      <c r="W194" s="4"/>
      <c r="X194" s="4"/>
      <c r="Y194" s="4"/>
      <c r="Z194" s="4"/>
      <c r="AA194" s="4"/>
      <c r="AB194" s="3"/>
      <c r="AC194" s="3"/>
      <c r="AD194" s="3"/>
      <c r="AZ194" s="3"/>
    </row>
    <row r="195" ht="15.75" customHeight="1">
      <c r="A195" s="4"/>
      <c r="B195" s="4"/>
      <c r="C195" s="4"/>
      <c r="D195" s="4"/>
      <c r="E195" s="3"/>
      <c r="F195" s="4"/>
      <c r="G195" s="4"/>
      <c r="H195" s="4"/>
      <c r="I195" s="4"/>
      <c r="J195" s="4"/>
      <c r="K195" s="4"/>
      <c r="L195" s="4"/>
      <c r="M195" s="4"/>
      <c r="N195" s="5"/>
      <c r="O195" s="4"/>
      <c r="P195" s="4"/>
      <c r="Q195" s="4"/>
      <c r="R195" s="4"/>
      <c r="S195" s="4"/>
      <c r="T195" s="4"/>
      <c r="U195" s="4"/>
      <c r="V195" s="4"/>
      <c r="W195" s="4"/>
      <c r="X195" s="4"/>
      <c r="Y195" s="4"/>
      <c r="Z195" s="4"/>
      <c r="AA195" s="4"/>
      <c r="AB195" s="3"/>
      <c r="AC195" s="3"/>
      <c r="AD195" s="3"/>
      <c r="AZ195" s="3"/>
    </row>
    <row r="196" ht="15.75" customHeight="1">
      <c r="A196" s="4"/>
      <c r="B196" s="4"/>
      <c r="C196" s="4"/>
      <c r="D196" s="4"/>
      <c r="E196" s="3"/>
      <c r="F196" s="4"/>
      <c r="G196" s="4"/>
      <c r="H196" s="4"/>
      <c r="I196" s="4"/>
      <c r="J196" s="4"/>
      <c r="K196" s="4"/>
      <c r="L196" s="4"/>
      <c r="M196" s="4"/>
      <c r="N196" s="5"/>
      <c r="O196" s="4"/>
      <c r="P196" s="4"/>
      <c r="Q196" s="4"/>
      <c r="R196" s="4"/>
      <c r="S196" s="4"/>
      <c r="T196" s="4"/>
      <c r="U196" s="4"/>
      <c r="V196" s="4"/>
      <c r="W196" s="4"/>
      <c r="X196" s="4"/>
      <c r="Y196" s="4"/>
      <c r="Z196" s="4"/>
      <c r="AA196" s="4"/>
      <c r="AB196" s="3"/>
      <c r="AC196" s="3"/>
      <c r="AD196" s="3"/>
      <c r="AZ196" s="3"/>
    </row>
    <row r="197" ht="15.75" customHeight="1">
      <c r="A197" s="4"/>
      <c r="B197" s="4"/>
      <c r="C197" s="4"/>
      <c r="D197" s="4"/>
      <c r="E197" s="3"/>
      <c r="F197" s="4"/>
      <c r="G197" s="4"/>
      <c r="H197" s="4"/>
      <c r="I197" s="4"/>
      <c r="J197" s="4"/>
      <c r="K197" s="4"/>
      <c r="L197" s="4"/>
      <c r="M197" s="4"/>
      <c r="N197" s="5"/>
      <c r="O197" s="4"/>
      <c r="P197" s="4"/>
      <c r="Q197" s="4"/>
      <c r="R197" s="4"/>
      <c r="S197" s="4"/>
      <c r="T197" s="4"/>
      <c r="U197" s="4"/>
      <c r="V197" s="4"/>
      <c r="W197" s="4"/>
      <c r="X197" s="4"/>
      <c r="Y197" s="4"/>
      <c r="Z197" s="4"/>
      <c r="AA197" s="4"/>
      <c r="AB197" s="3"/>
      <c r="AC197" s="3"/>
      <c r="AD197" s="3"/>
      <c r="AZ197" s="3"/>
    </row>
    <row r="198" ht="15.75" customHeight="1">
      <c r="A198" s="4"/>
      <c r="B198" s="4"/>
      <c r="C198" s="4"/>
      <c r="D198" s="4"/>
      <c r="E198" s="3"/>
      <c r="F198" s="4"/>
      <c r="G198" s="4"/>
      <c r="H198" s="4"/>
      <c r="I198" s="4"/>
      <c r="J198" s="4"/>
      <c r="K198" s="4"/>
      <c r="L198" s="4"/>
      <c r="M198" s="4"/>
      <c r="N198" s="5"/>
      <c r="O198" s="4"/>
      <c r="P198" s="4"/>
      <c r="Q198" s="4"/>
      <c r="R198" s="4"/>
      <c r="S198" s="4"/>
      <c r="T198" s="4"/>
      <c r="U198" s="4"/>
      <c r="V198" s="4"/>
      <c r="W198" s="4"/>
      <c r="X198" s="4"/>
      <c r="Y198" s="4"/>
      <c r="Z198" s="4"/>
      <c r="AA198" s="4"/>
      <c r="AB198" s="3"/>
      <c r="AC198" s="3"/>
      <c r="AD198" s="3"/>
      <c r="AZ198" s="3"/>
    </row>
    <row r="199" ht="15.75" customHeight="1">
      <c r="A199" s="4"/>
      <c r="B199" s="4"/>
      <c r="C199" s="4"/>
      <c r="D199" s="4"/>
      <c r="E199" s="3"/>
      <c r="F199" s="4"/>
      <c r="G199" s="4"/>
      <c r="H199" s="4"/>
      <c r="I199" s="4"/>
      <c r="J199" s="4"/>
      <c r="K199" s="4"/>
      <c r="L199" s="4"/>
      <c r="M199" s="4"/>
      <c r="N199" s="5"/>
      <c r="O199" s="4"/>
      <c r="P199" s="4"/>
      <c r="Q199" s="4"/>
      <c r="R199" s="4"/>
      <c r="S199" s="4"/>
      <c r="T199" s="4"/>
      <c r="U199" s="4"/>
      <c r="V199" s="4"/>
      <c r="W199" s="4"/>
      <c r="X199" s="4"/>
      <c r="Y199" s="4"/>
      <c r="Z199" s="4"/>
      <c r="AA199" s="4"/>
      <c r="AB199" s="3"/>
      <c r="AC199" s="3"/>
      <c r="AD199" s="3"/>
      <c r="AZ199" s="3"/>
    </row>
    <row r="200" ht="15.75" customHeight="1">
      <c r="A200" s="4"/>
      <c r="B200" s="4"/>
      <c r="C200" s="4"/>
      <c r="D200" s="4"/>
      <c r="E200" s="3"/>
      <c r="F200" s="4"/>
      <c r="G200" s="4"/>
      <c r="H200" s="4"/>
      <c r="I200" s="4"/>
      <c r="J200" s="4"/>
      <c r="K200" s="4"/>
      <c r="L200" s="4"/>
      <c r="M200" s="4"/>
      <c r="N200" s="5"/>
      <c r="O200" s="4"/>
      <c r="P200" s="4"/>
      <c r="Q200" s="4"/>
      <c r="R200" s="4"/>
      <c r="S200" s="4"/>
      <c r="T200" s="4"/>
      <c r="U200" s="4"/>
      <c r="V200" s="4"/>
      <c r="W200" s="4"/>
      <c r="X200" s="4"/>
      <c r="Y200" s="4"/>
      <c r="Z200" s="4"/>
      <c r="AA200" s="4"/>
      <c r="AB200" s="3"/>
      <c r="AC200" s="3"/>
      <c r="AD200" s="3"/>
      <c r="AZ200" s="3"/>
    </row>
    <row r="201" ht="15.75" customHeight="1">
      <c r="A201" s="4"/>
      <c r="B201" s="4"/>
      <c r="C201" s="4"/>
      <c r="D201" s="4"/>
      <c r="E201" s="3"/>
      <c r="F201" s="4"/>
      <c r="G201" s="4"/>
      <c r="H201" s="4"/>
      <c r="I201" s="4"/>
      <c r="J201" s="4"/>
      <c r="K201" s="4"/>
      <c r="L201" s="4"/>
      <c r="M201" s="4"/>
      <c r="N201" s="5"/>
      <c r="O201" s="4"/>
      <c r="P201" s="4"/>
      <c r="Q201" s="4"/>
      <c r="R201" s="4"/>
      <c r="S201" s="4"/>
      <c r="T201" s="4"/>
      <c r="U201" s="4"/>
      <c r="V201" s="4"/>
      <c r="W201" s="4"/>
      <c r="X201" s="4"/>
      <c r="Y201" s="4"/>
      <c r="Z201" s="4"/>
      <c r="AA201" s="4"/>
      <c r="AB201" s="3"/>
      <c r="AC201" s="3"/>
      <c r="AD201" s="3"/>
      <c r="AZ201" s="3"/>
    </row>
    <row r="202" ht="15.75" customHeight="1">
      <c r="A202" s="4"/>
      <c r="B202" s="4"/>
      <c r="C202" s="4"/>
      <c r="D202" s="4"/>
      <c r="E202" s="3"/>
      <c r="F202" s="4"/>
      <c r="G202" s="4"/>
      <c r="H202" s="4"/>
      <c r="I202" s="4"/>
      <c r="J202" s="4"/>
      <c r="K202" s="4"/>
      <c r="L202" s="4"/>
      <c r="M202" s="4"/>
      <c r="N202" s="5"/>
      <c r="O202" s="4"/>
      <c r="P202" s="4"/>
      <c r="Q202" s="4"/>
      <c r="R202" s="4"/>
      <c r="S202" s="4"/>
      <c r="T202" s="4"/>
      <c r="U202" s="4"/>
      <c r="V202" s="4"/>
      <c r="W202" s="4"/>
      <c r="X202" s="4"/>
      <c r="Y202" s="4"/>
      <c r="Z202" s="4"/>
      <c r="AA202" s="4"/>
      <c r="AB202" s="3"/>
      <c r="AC202" s="3"/>
      <c r="AD202" s="3"/>
      <c r="AZ202" s="3"/>
    </row>
    <row r="203" ht="15.75" customHeight="1">
      <c r="A203" s="4"/>
      <c r="B203" s="4"/>
      <c r="C203" s="4"/>
      <c r="D203" s="4"/>
      <c r="E203" s="3"/>
      <c r="F203" s="4"/>
      <c r="G203" s="4"/>
      <c r="H203" s="4"/>
      <c r="I203" s="4"/>
      <c r="J203" s="4"/>
      <c r="K203" s="4"/>
      <c r="L203" s="4"/>
      <c r="M203" s="4"/>
      <c r="N203" s="5"/>
      <c r="O203" s="4"/>
      <c r="P203" s="4"/>
      <c r="Q203" s="4"/>
      <c r="R203" s="4"/>
      <c r="S203" s="4"/>
      <c r="T203" s="4"/>
      <c r="U203" s="4"/>
      <c r="V203" s="4"/>
      <c r="W203" s="4"/>
      <c r="X203" s="4"/>
      <c r="Y203" s="4"/>
      <c r="Z203" s="4"/>
      <c r="AA203" s="4"/>
      <c r="AB203" s="3"/>
      <c r="AC203" s="3"/>
      <c r="AD203" s="3"/>
      <c r="AZ203" s="3"/>
    </row>
    <row r="204" ht="15.75" customHeight="1">
      <c r="A204" s="4"/>
      <c r="B204" s="4"/>
      <c r="C204" s="4"/>
      <c r="D204" s="4"/>
      <c r="E204" s="3"/>
      <c r="F204" s="4"/>
      <c r="G204" s="4"/>
      <c r="H204" s="4"/>
      <c r="I204" s="4"/>
      <c r="J204" s="4"/>
      <c r="K204" s="4"/>
      <c r="L204" s="4"/>
      <c r="M204" s="4"/>
      <c r="N204" s="5"/>
      <c r="O204" s="4"/>
      <c r="P204" s="4"/>
      <c r="Q204" s="4"/>
      <c r="R204" s="4"/>
      <c r="S204" s="4"/>
      <c r="T204" s="4"/>
      <c r="U204" s="4"/>
      <c r="V204" s="4"/>
      <c r="W204" s="4"/>
      <c r="X204" s="4"/>
      <c r="Y204" s="4"/>
      <c r="Z204" s="4"/>
      <c r="AA204" s="4"/>
      <c r="AB204" s="3"/>
      <c r="AC204" s="3"/>
      <c r="AD204" s="3"/>
      <c r="AZ204" s="3"/>
    </row>
    <row r="205" ht="15.75" customHeight="1">
      <c r="A205" s="4"/>
      <c r="B205" s="4"/>
      <c r="C205" s="4"/>
      <c r="D205" s="4"/>
      <c r="E205" s="3"/>
      <c r="F205" s="4"/>
      <c r="G205" s="4"/>
      <c r="H205" s="4"/>
      <c r="I205" s="4"/>
      <c r="J205" s="4"/>
      <c r="K205" s="4"/>
      <c r="L205" s="4"/>
      <c r="M205" s="4"/>
      <c r="N205" s="5"/>
      <c r="O205" s="4"/>
      <c r="P205" s="4"/>
      <c r="Q205" s="4"/>
      <c r="R205" s="4"/>
      <c r="S205" s="4"/>
      <c r="T205" s="4"/>
      <c r="U205" s="4"/>
      <c r="V205" s="4"/>
      <c r="W205" s="4"/>
      <c r="X205" s="4"/>
      <c r="Y205" s="4"/>
      <c r="Z205" s="4"/>
      <c r="AA205" s="4"/>
      <c r="AB205" s="3"/>
      <c r="AC205" s="3"/>
      <c r="AD205" s="3"/>
      <c r="AZ205" s="3"/>
    </row>
    <row r="206" ht="15.75" customHeight="1">
      <c r="A206" s="4"/>
      <c r="B206" s="4"/>
      <c r="C206" s="4"/>
      <c r="D206" s="4"/>
      <c r="E206" s="3"/>
      <c r="F206" s="4"/>
      <c r="G206" s="4"/>
      <c r="H206" s="4"/>
      <c r="I206" s="4"/>
      <c r="J206" s="4"/>
      <c r="K206" s="4"/>
      <c r="L206" s="4"/>
      <c r="M206" s="4"/>
      <c r="N206" s="5"/>
      <c r="O206" s="4"/>
      <c r="P206" s="4"/>
      <c r="Q206" s="4"/>
      <c r="R206" s="4"/>
      <c r="S206" s="4"/>
      <c r="T206" s="4"/>
      <c r="U206" s="4"/>
      <c r="V206" s="4"/>
      <c r="W206" s="4"/>
      <c r="X206" s="4"/>
      <c r="Y206" s="4"/>
      <c r="Z206" s="4"/>
      <c r="AA206" s="4"/>
      <c r="AB206" s="3"/>
      <c r="AC206" s="3"/>
      <c r="AD206" s="3"/>
      <c r="AZ206" s="3"/>
    </row>
    <row r="207" ht="15.75" customHeight="1">
      <c r="A207" s="4"/>
      <c r="B207" s="4"/>
      <c r="C207" s="4"/>
      <c r="D207" s="4"/>
      <c r="E207" s="3"/>
      <c r="F207" s="4"/>
      <c r="G207" s="4"/>
      <c r="H207" s="4"/>
      <c r="I207" s="4"/>
      <c r="J207" s="4"/>
      <c r="K207" s="4"/>
      <c r="L207" s="4"/>
      <c r="M207" s="4"/>
      <c r="N207" s="5"/>
      <c r="O207" s="4"/>
      <c r="P207" s="4"/>
      <c r="Q207" s="4"/>
      <c r="R207" s="4"/>
      <c r="S207" s="4"/>
      <c r="T207" s="4"/>
      <c r="U207" s="4"/>
      <c r="V207" s="4"/>
      <c r="W207" s="4"/>
      <c r="X207" s="4"/>
      <c r="Y207" s="4"/>
      <c r="Z207" s="4"/>
      <c r="AA207" s="4"/>
      <c r="AB207" s="3"/>
      <c r="AC207" s="3"/>
      <c r="AD207" s="3"/>
      <c r="AZ207" s="3"/>
    </row>
    <row r="208" ht="15.75" customHeight="1">
      <c r="A208" s="4"/>
      <c r="B208" s="4"/>
      <c r="C208" s="4"/>
      <c r="D208" s="4"/>
      <c r="E208" s="3"/>
      <c r="F208" s="4"/>
      <c r="G208" s="4"/>
      <c r="H208" s="4"/>
      <c r="I208" s="4"/>
      <c r="J208" s="4"/>
      <c r="K208" s="4"/>
      <c r="L208" s="4"/>
      <c r="M208" s="4"/>
      <c r="N208" s="5"/>
      <c r="O208" s="4"/>
      <c r="P208" s="4"/>
      <c r="Q208" s="4"/>
      <c r="R208" s="4"/>
      <c r="S208" s="4"/>
      <c r="T208" s="4"/>
      <c r="U208" s="4"/>
      <c r="V208" s="4"/>
      <c r="W208" s="4"/>
      <c r="X208" s="4"/>
      <c r="Y208" s="4"/>
      <c r="Z208" s="4"/>
      <c r="AA208" s="4"/>
      <c r="AB208" s="3"/>
      <c r="AC208" s="3"/>
      <c r="AD208" s="3"/>
      <c r="AZ208" s="3"/>
    </row>
    <row r="209" ht="15.75" customHeight="1">
      <c r="A209" s="4"/>
      <c r="B209" s="4"/>
      <c r="C209" s="4"/>
      <c r="D209" s="4"/>
      <c r="E209" s="3"/>
      <c r="F209" s="4"/>
      <c r="G209" s="4"/>
      <c r="H209" s="4"/>
      <c r="I209" s="4"/>
      <c r="J209" s="4"/>
      <c r="K209" s="4"/>
      <c r="L209" s="4"/>
      <c r="M209" s="4"/>
      <c r="N209" s="5"/>
      <c r="O209" s="4"/>
      <c r="P209" s="4"/>
      <c r="Q209" s="4"/>
      <c r="R209" s="4"/>
      <c r="S209" s="4"/>
      <c r="T209" s="4"/>
      <c r="U209" s="4"/>
      <c r="V209" s="4"/>
      <c r="W209" s="4"/>
      <c r="X209" s="4"/>
      <c r="Y209" s="4"/>
      <c r="Z209" s="4"/>
      <c r="AA209" s="4"/>
      <c r="AB209" s="3"/>
      <c r="AC209" s="3"/>
      <c r="AD209" s="3"/>
      <c r="AZ209" s="3"/>
    </row>
    <row r="210" ht="15.75" customHeight="1">
      <c r="A210" s="4"/>
      <c r="B210" s="4"/>
      <c r="C210" s="4"/>
      <c r="D210" s="4"/>
      <c r="E210" s="3"/>
      <c r="F210" s="4"/>
      <c r="G210" s="4"/>
      <c r="H210" s="4"/>
      <c r="I210" s="4"/>
      <c r="J210" s="4"/>
      <c r="K210" s="4"/>
      <c r="L210" s="4"/>
      <c r="M210" s="4"/>
      <c r="N210" s="5"/>
      <c r="O210" s="4"/>
      <c r="P210" s="4"/>
      <c r="Q210" s="4"/>
      <c r="R210" s="4"/>
      <c r="S210" s="4"/>
      <c r="T210" s="4"/>
      <c r="U210" s="4"/>
      <c r="V210" s="4"/>
      <c r="W210" s="4"/>
      <c r="X210" s="4"/>
      <c r="Y210" s="4"/>
      <c r="Z210" s="4"/>
      <c r="AA210" s="4"/>
      <c r="AB210" s="3"/>
      <c r="AC210" s="3"/>
      <c r="AD210" s="3"/>
      <c r="AZ210" s="3"/>
    </row>
    <row r="211" ht="15.75" customHeight="1">
      <c r="A211" s="4"/>
      <c r="B211" s="4"/>
      <c r="C211" s="4"/>
      <c r="D211" s="4"/>
      <c r="E211" s="3"/>
      <c r="F211" s="4"/>
      <c r="G211" s="4"/>
      <c r="H211" s="4"/>
      <c r="I211" s="4"/>
      <c r="J211" s="4"/>
      <c r="K211" s="4"/>
      <c r="L211" s="4"/>
      <c r="M211" s="4"/>
      <c r="N211" s="5"/>
      <c r="O211" s="4"/>
      <c r="P211" s="4"/>
      <c r="Q211" s="4"/>
      <c r="R211" s="4"/>
      <c r="S211" s="4"/>
      <c r="T211" s="4"/>
      <c r="U211" s="4"/>
      <c r="V211" s="4"/>
      <c r="W211" s="4"/>
      <c r="X211" s="4"/>
      <c r="Y211" s="4"/>
      <c r="Z211" s="4"/>
      <c r="AA211" s="4"/>
      <c r="AB211" s="3"/>
      <c r="AC211" s="3"/>
      <c r="AD211" s="3"/>
      <c r="AZ211" s="3"/>
    </row>
    <row r="212" ht="15.75" customHeight="1">
      <c r="A212" s="4"/>
      <c r="B212" s="4"/>
      <c r="C212" s="4"/>
      <c r="D212" s="4"/>
      <c r="E212" s="3"/>
      <c r="F212" s="4"/>
      <c r="G212" s="4"/>
      <c r="H212" s="4"/>
      <c r="I212" s="4"/>
      <c r="J212" s="4"/>
      <c r="K212" s="4"/>
      <c r="L212" s="4"/>
      <c r="M212" s="4"/>
      <c r="N212" s="5"/>
      <c r="O212" s="4"/>
      <c r="P212" s="4"/>
      <c r="Q212" s="4"/>
      <c r="R212" s="4"/>
      <c r="S212" s="4"/>
      <c r="T212" s="4"/>
      <c r="U212" s="4"/>
      <c r="V212" s="4"/>
      <c r="W212" s="4"/>
      <c r="X212" s="4"/>
      <c r="Y212" s="4"/>
      <c r="Z212" s="4"/>
      <c r="AA212" s="4"/>
      <c r="AB212" s="3"/>
      <c r="AC212" s="3"/>
      <c r="AD212" s="3"/>
      <c r="AZ212" s="3"/>
    </row>
    <row r="213" ht="15.75" customHeight="1">
      <c r="A213" s="4"/>
      <c r="B213" s="4"/>
      <c r="C213" s="4"/>
      <c r="D213" s="4"/>
      <c r="E213" s="3"/>
      <c r="F213" s="4"/>
      <c r="G213" s="4"/>
      <c r="H213" s="4"/>
      <c r="I213" s="4"/>
      <c r="J213" s="4"/>
      <c r="K213" s="4"/>
      <c r="L213" s="4"/>
      <c r="M213" s="4"/>
      <c r="N213" s="5"/>
      <c r="O213" s="4"/>
      <c r="P213" s="4"/>
      <c r="Q213" s="4"/>
      <c r="R213" s="4"/>
      <c r="S213" s="4"/>
      <c r="T213" s="4"/>
      <c r="U213" s="4"/>
      <c r="V213" s="4"/>
      <c r="W213" s="4"/>
      <c r="X213" s="4"/>
      <c r="Y213" s="4"/>
      <c r="Z213" s="4"/>
      <c r="AA213" s="4"/>
      <c r="AB213" s="3"/>
      <c r="AC213" s="3"/>
      <c r="AD213" s="3"/>
      <c r="AZ213" s="3"/>
    </row>
    <row r="214" ht="15.75" customHeight="1">
      <c r="A214" s="4"/>
      <c r="B214" s="4"/>
      <c r="C214" s="4"/>
      <c r="D214" s="4"/>
      <c r="E214" s="3"/>
      <c r="F214" s="4"/>
      <c r="G214" s="4"/>
      <c r="H214" s="4"/>
      <c r="I214" s="4"/>
      <c r="J214" s="4"/>
      <c r="K214" s="4"/>
      <c r="L214" s="4"/>
      <c r="M214" s="4"/>
      <c r="N214" s="5"/>
      <c r="O214" s="4"/>
      <c r="P214" s="4"/>
      <c r="Q214" s="4"/>
      <c r="R214" s="4"/>
      <c r="S214" s="4"/>
      <c r="T214" s="4"/>
      <c r="U214" s="4"/>
      <c r="V214" s="4"/>
      <c r="W214" s="4"/>
      <c r="X214" s="4"/>
      <c r="Y214" s="4"/>
      <c r="Z214" s="4"/>
      <c r="AA214" s="4"/>
      <c r="AB214" s="3"/>
      <c r="AC214" s="3"/>
      <c r="AD214" s="3"/>
      <c r="AZ214" s="3"/>
    </row>
    <row r="215" ht="15.75" customHeight="1">
      <c r="A215" s="4"/>
      <c r="B215" s="4"/>
      <c r="C215" s="4"/>
      <c r="D215" s="4"/>
      <c r="E215" s="3"/>
      <c r="F215" s="4"/>
      <c r="G215" s="4"/>
      <c r="H215" s="4"/>
      <c r="I215" s="4"/>
      <c r="J215" s="4"/>
      <c r="K215" s="4"/>
      <c r="L215" s="4"/>
      <c r="M215" s="4"/>
      <c r="N215" s="5"/>
      <c r="O215" s="4"/>
      <c r="P215" s="4"/>
      <c r="Q215" s="4"/>
      <c r="R215" s="4"/>
      <c r="S215" s="4"/>
      <c r="T215" s="4"/>
      <c r="U215" s="4"/>
      <c r="V215" s="4"/>
      <c r="W215" s="4"/>
      <c r="X215" s="4"/>
      <c r="Y215" s="4"/>
      <c r="Z215" s="4"/>
      <c r="AA215" s="4"/>
      <c r="AB215" s="3"/>
      <c r="AC215" s="3"/>
      <c r="AD215" s="3"/>
      <c r="AZ215" s="3"/>
    </row>
    <row r="216" ht="15.75" customHeight="1">
      <c r="A216" s="4"/>
      <c r="B216" s="4"/>
      <c r="C216" s="4"/>
      <c r="D216" s="4"/>
      <c r="E216" s="3"/>
      <c r="F216" s="4"/>
      <c r="G216" s="4"/>
      <c r="H216" s="4"/>
      <c r="I216" s="4"/>
      <c r="J216" s="4"/>
      <c r="K216" s="4"/>
      <c r="L216" s="4"/>
      <c r="M216" s="4"/>
      <c r="N216" s="5"/>
      <c r="O216" s="4"/>
      <c r="P216" s="4"/>
      <c r="Q216" s="4"/>
      <c r="R216" s="4"/>
      <c r="S216" s="4"/>
      <c r="T216" s="4"/>
      <c r="U216" s="4"/>
      <c r="V216" s="4"/>
      <c r="W216" s="4"/>
      <c r="X216" s="4"/>
      <c r="Y216" s="4"/>
      <c r="Z216" s="4"/>
      <c r="AA216" s="4"/>
      <c r="AB216" s="3"/>
      <c r="AC216" s="3"/>
      <c r="AD216" s="3"/>
      <c r="AZ216" s="3"/>
    </row>
    <row r="217" ht="15.75" customHeight="1">
      <c r="A217" s="4"/>
      <c r="B217" s="4"/>
      <c r="C217" s="4"/>
      <c r="D217" s="4"/>
      <c r="E217" s="3"/>
      <c r="F217" s="4"/>
      <c r="G217" s="4"/>
      <c r="H217" s="4"/>
      <c r="I217" s="4"/>
      <c r="J217" s="4"/>
      <c r="K217" s="4"/>
      <c r="L217" s="4"/>
      <c r="M217" s="4"/>
      <c r="N217" s="5"/>
      <c r="O217" s="4"/>
      <c r="P217" s="4"/>
      <c r="Q217" s="4"/>
      <c r="R217" s="4"/>
      <c r="S217" s="4"/>
      <c r="T217" s="4"/>
      <c r="U217" s="4"/>
      <c r="V217" s="4"/>
      <c r="W217" s="4"/>
      <c r="X217" s="4"/>
      <c r="Y217" s="4"/>
      <c r="Z217" s="4"/>
      <c r="AA217" s="4"/>
      <c r="AB217" s="3"/>
      <c r="AC217" s="3"/>
      <c r="AD217" s="3"/>
      <c r="AZ217" s="3"/>
    </row>
    <row r="218" ht="15.75" customHeight="1">
      <c r="A218" s="4"/>
      <c r="B218" s="4"/>
      <c r="C218" s="4"/>
      <c r="D218" s="4"/>
      <c r="E218" s="3"/>
      <c r="F218" s="4"/>
      <c r="G218" s="4"/>
      <c r="H218" s="4"/>
      <c r="I218" s="4"/>
      <c r="J218" s="4"/>
      <c r="K218" s="4"/>
      <c r="L218" s="4"/>
      <c r="M218" s="4"/>
      <c r="N218" s="5"/>
      <c r="O218" s="4"/>
      <c r="P218" s="4"/>
      <c r="Q218" s="4"/>
      <c r="R218" s="4"/>
      <c r="S218" s="4"/>
      <c r="T218" s="4"/>
      <c r="U218" s="4"/>
      <c r="V218" s="4"/>
      <c r="W218" s="4"/>
      <c r="X218" s="4"/>
      <c r="Y218" s="4"/>
      <c r="Z218" s="4"/>
      <c r="AA218" s="4"/>
      <c r="AB218" s="3"/>
      <c r="AC218" s="3"/>
      <c r="AD218" s="3"/>
      <c r="AZ218" s="3"/>
    </row>
    <row r="219" ht="15.75" customHeight="1">
      <c r="A219" s="4"/>
      <c r="B219" s="4"/>
      <c r="C219" s="4"/>
      <c r="D219" s="4"/>
      <c r="E219" s="3"/>
      <c r="F219" s="4"/>
      <c r="G219" s="4"/>
      <c r="H219" s="4"/>
      <c r="I219" s="4"/>
      <c r="J219" s="4"/>
      <c r="K219" s="4"/>
      <c r="L219" s="4"/>
      <c r="M219" s="4"/>
      <c r="N219" s="5"/>
      <c r="O219" s="4"/>
      <c r="P219" s="4"/>
      <c r="Q219" s="4"/>
      <c r="R219" s="4"/>
      <c r="S219" s="4"/>
      <c r="T219" s="4"/>
      <c r="U219" s="4"/>
      <c r="V219" s="4"/>
      <c r="W219" s="4"/>
      <c r="X219" s="4"/>
      <c r="Y219" s="4"/>
      <c r="Z219" s="4"/>
      <c r="AA219" s="4"/>
      <c r="AB219" s="3"/>
      <c r="AC219" s="3"/>
      <c r="AD219" s="3"/>
      <c r="AZ219" s="3"/>
    </row>
    <row r="220" ht="15.75" customHeight="1">
      <c r="A220" s="4"/>
      <c r="B220" s="4"/>
      <c r="C220" s="4"/>
      <c r="D220" s="4"/>
      <c r="E220" s="3"/>
      <c r="F220" s="4"/>
      <c r="G220" s="4"/>
      <c r="H220" s="4"/>
      <c r="I220" s="4"/>
      <c r="J220" s="4"/>
      <c r="K220" s="4"/>
      <c r="L220" s="4"/>
      <c r="M220" s="4"/>
      <c r="N220" s="5"/>
      <c r="O220" s="4"/>
      <c r="P220" s="4"/>
      <c r="Q220" s="4"/>
      <c r="R220" s="4"/>
      <c r="S220" s="4"/>
      <c r="T220" s="4"/>
      <c r="U220" s="4"/>
      <c r="V220" s="4"/>
      <c r="W220" s="4"/>
      <c r="X220" s="4"/>
      <c r="Y220" s="4"/>
      <c r="Z220" s="4"/>
      <c r="AA220" s="4"/>
      <c r="AB220" s="3"/>
      <c r="AC220" s="3"/>
      <c r="AD220" s="3"/>
      <c r="AZ220" s="3"/>
    </row>
    <row r="221" ht="15.75" customHeight="1">
      <c r="A221" s="4"/>
      <c r="B221" s="4"/>
      <c r="C221" s="4"/>
      <c r="D221" s="4"/>
      <c r="E221" s="3"/>
      <c r="F221" s="4"/>
      <c r="G221" s="4"/>
      <c r="H221" s="4"/>
      <c r="I221" s="4"/>
      <c r="J221" s="4"/>
      <c r="K221" s="4"/>
      <c r="L221" s="4"/>
      <c r="M221" s="4"/>
      <c r="N221" s="5"/>
      <c r="O221" s="4"/>
      <c r="P221" s="4"/>
      <c r="Q221" s="4"/>
      <c r="R221" s="4"/>
      <c r="S221" s="4"/>
      <c r="T221" s="4"/>
      <c r="U221" s="4"/>
      <c r="V221" s="4"/>
      <c r="W221" s="4"/>
      <c r="X221" s="4"/>
      <c r="Y221" s="4"/>
      <c r="Z221" s="4"/>
      <c r="AA221" s="4"/>
      <c r="AB221" s="3"/>
      <c r="AC221" s="3"/>
      <c r="AD221" s="3"/>
      <c r="AZ221" s="3"/>
    </row>
    <row r="222" ht="15.75" customHeight="1">
      <c r="A222" s="4"/>
      <c r="B222" s="4"/>
      <c r="C222" s="4"/>
      <c r="D222" s="4"/>
      <c r="E222" s="3"/>
      <c r="F222" s="4"/>
      <c r="G222" s="4"/>
      <c r="H222" s="4"/>
      <c r="I222" s="4"/>
      <c r="J222" s="4"/>
      <c r="K222" s="4"/>
      <c r="L222" s="4"/>
      <c r="M222" s="4"/>
      <c r="N222" s="5"/>
      <c r="O222" s="4"/>
      <c r="P222" s="4"/>
      <c r="Q222" s="4"/>
      <c r="R222" s="4"/>
      <c r="S222" s="4"/>
      <c r="T222" s="4"/>
      <c r="U222" s="4"/>
      <c r="V222" s="4"/>
      <c r="W222" s="4"/>
      <c r="X222" s="4"/>
      <c r="Y222" s="4"/>
      <c r="Z222" s="4"/>
      <c r="AA222" s="4"/>
      <c r="AB222" s="3"/>
      <c r="AC222" s="3"/>
      <c r="AD222" s="3"/>
      <c r="AZ222" s="3"/>
    </row>
    <row r="223" ht="15.75" customHeight="1">
      <c r="A223" s="4"/>
      <c r="B223" s="4"/>
      <c r="C223" s="4"/>
      <c r="D223" s="4"/>
      <c r="E223" s="3"/>
      <c r="F223" s="4"/>
      <c r="G223" s="4"/>
      <c r="H223" s="4"/>
      <c r="I223" s="4"/>
      <c r="J223" s="4"/>
      <c r="K223" s="4"/>
      <c r="L223" s="4"/>
      <c r="M223" s="4"/>
      <c r="N223" s="5"/>
      <c r="O223" s="4"/>
      <c r="P223" s="4"/>
      <c r="Q223" s="4"/>
      <c r="R223" s="4"/>
      <c r="S223" s="4"/>
      <c r="T223" s="4"/>
      <c r="U223" s="4"/>
      <c r="V223" s="4"/>
      <c r="W223" s="4"/>
      <c r="X223" s="4"/>
      <c r="Y223" s="4"/>
      <c r="Z223" s="4"/>
      <c r="AA223" s="4"/>
      <c r="AB223" s="3"/>
      <c r="AC223" s="3"/>
      <c r="AD223" s="3"/>
      <c r="AZ223" s="3"/>
    </row>
    <row r="224" ht="15.75" customHeight="1">
      <c r="A224" s="4"/>
      <c r="B224" s="4"/>
      <c r="C224" s="4"/>
      <c r="D224" s="4"/>
      <c r="E224" s="3"/>
      <c r="F224" s="4"/>
      <c r="G224" s="4"/>
      <c r="H224" s="4"/>
      <c r="I224" s="4"/>
      <c r="J224" s="4"/>
      <c r="K224" s="4"/>
      <c r="L224" s="4"/>
      <c r="M224" s="4"/>
      <c r="N224" s="5"/>
      <c r="O224" s="4"/>
      <c r="P224" s="4"/>
      <c r="Q224" s="4"/>
      <c r="R224" s="4"/>
      <c r="S224" s="4"/>
      <c r="T224" s="4"/>
      <c r="U224" s="4"/>
      <c r="V224" s="4"/>
      <c r="W224" s="4"/>
      <c r="X224" s="4"/>
      <c r="Y224" s="4"/>
      <c r="Z224" s="4"/>
      <c r="AA224" s="4"/>
      <c r="AB224" s="3"/>
      <c r="AC224" s="3"/>
      <c r="AD224" s="3"/>
      <c r="AZ224" s="3"/>
    </row>
    <row r="225" ht="15.75" customHeight="1">
      <c r="A225" s="4"/>
      <c r="B225" s="4"/>
      <c r="C225" s="4"/>
      <c r="D225" s="4"/>
      <c r="E225" s="3"/>
      <c r="F225" s="4"/>
      <c r="G225" s="4"/>
      <c r="H225" s="4"/>
      <c r="I225" s="4"/>
      <c r="J225" s="4"/>
      <c r="K225" s="4"/>
      <c r="L225" s="4"/>
      <c r="M225" s="4"/>
      <c r="N225" s="5"/>
      <c r="O225" s="4"/>
      <c r="P225" s="4"/>
      <c r="Q225" s="4"/>
      <c r="R225" s="4"/>
      <c r="S225" s="4"/>
      <c r="T225" s="4"/>
      <c r="U225" s="4"/>
      <c r="V225" s="4"/>
      <c r="W225" s="4"/>
      <c r="X225" s="4"/>
      <c r="Y225" s="4"/>
      <c r="Z225" s="4"/>
      <c r="AA225" s="4"/>
      <c r="AB225" s="3"/>
      <c r="AC225" s="3"/>
      <c r="AD225" s="3"/>
      <c r="AZ225" s="3"/>
    </row>
    <row r="226" ht="15.75" customHeight="1">
      <c r="A226" s="4"/>
      <c r="B226" s="4"/>
      <c r="C226" s="4"/>
      <c r="D226" s="4"/>
      <c r="E226" s="3"/>
      <c r="F226" s="4"/>
      <c r="G226" s="4"/>
      <c r="H226" s="4"/>
      <c r="I226" s="4"/>
      <c r="J226" s="4"/>
      <c r="K226" s="4"/>
      <c r="L226" s="4"/>
      <c r="M226" s="4"/>
      <c r="N226" s="5"/>
      <c r="O226" s="4"/>
      <c r="P226" s="4"/>
      <c r="Q226" s="4"/>
      <c r="R226" s="4"/>
      <c r="S226" s="4"/>
      <c r="T226" s="4"/>
      <c r="U226" s="4"/>
      <c r="V226" s="4"/>
      <c r="W226" s="4"/>
      <c r="X226" s="4"/>
      <c r="Y226" s="4"/>
      <c r="Z226" s="4"/>
      <c r="AA226" s="4"/>
      <c r="AB226" s="3"/>
      <c r="AC226" s="3"/>
      <c r="AD226" s="3"/>
      <c r="AZ226" s="3"/>
    </row>
    <row r="227" ht="15.75" customHeight="1">
      <c r="A227" s="4"/>
      <c r="B227" s="4"/>
      <c r="C227" s="4"/>
      <c r="D227" s="4"/>
      <c r="E227" s="3"/>
      <c r="F227" s="4"/>
      <c r="G227" s="4"/>
      <c r="H227" s="4"/>
      <c r="I227" s="4"/>
      <c r="J227" s="4"/>
      <c r="K227" s="4"/>
      <c r="L227" s="4"/>
      <c r="M227" s="4"/>
      <c r="N227" s="5"/>
      <c r="O227" s="4"/>
      <c r="P227" s="4"/>
      <c r="Q227" s="4"/>
      <c r="R227" s="4"/>
      <c r="S227" s="4"/>
      <c r="T227" s="4"/>
      <c r="U227" s="4"/>
      <c r="V227" s="4"/>
      <c r="W227" s="4"/>
      <c r="X227" s="4"/>
      <c r="Y227" s="4"/>
      <c r="Z227" s="4"/>
      <c r="AA227" s="4"/>
      <c r="AB227" s="3"/>
      <c r="AC227" s="3"/>
      <c r="AD227" s="3"/>
      <c r="AZ227" s="3"/>
    </row>
    <row r="228" ht="15.75" customHeight="1">
      <c r="A228" s="4"/>
      <c r="B228" s="4"/>
      <c r="C228" s="4"/>
      <c r="D228" s="4"/>
      <c r="E228" s="3"/>
      <c r="F228" s="4"/>
      <c r="G228" s="4"/>
      <c r="H228" s="4"/>
      <c r="I228" s="4"/>
      <c r="J228" s="4"/>
      <c r="K228" s="4"/>
      <c r="L228" s="4"/>
      <c r="M228" s="4"/>
      <c r="N228" s="5"/>
      <c r="O228" s="4"/>
      <c r="P228" s="4"/>
      <c r="Q228" s="4"/>
      <c r="R228" s="4"/>
      <c r="S228" s="4"/>
      <c r="T228" s="4"/>
      <c r="U228" s="4"/>
      <c r="V228" s="4"/>
      <c r="W228" s="4"/>
      <c r="X228" s="4"/>
      <c r="Y228" s="4"/>
      <c r="Z228" s="4"/>
      <c r="AA228" s="4"/>
      <c r="AB228" s="3"/>
      <c r="AC228" s="3"/>
      <c r="AD228" s="3"/>
      <c r="AZ228" s="3"/>
    </row>
    <row r="229" ht="15.75" customHeight="1">
      <c r="A229" s="4"/>
      <c r="B229" s="4"/>
      <c r="C229" s="4"/>
      <c r="D229" s="4"/>
      <c r="E229" s="3"/>
      <c r="F229" s="4"/>
      <c r="G229" s="4"/>
      <c r="H229" s="4"/>
      <c r="I229" s="4"/>
      <c r="J229" s="4"/>
      <c r="K229" s="4"/>
      <c r="L229" s="4"/>
      <c r="M229" s="4"/>
      <c r="N229" s="5"/>
      <c r="O229" s="4"/>
      <c r="P229" s="4"/>
      <c r="Q229" s="4"/>
      <c r="R229" s="4"/>
      <c r="S229" s="4"/>
      <c r="T229" s="4"/>
      <c r="U229" s="4"/>
      <c r="V229" s="4"/>
      <c r="W229" s="4"/>
      <c r="X229" s="4"/>
      <c r="Y229" s="4"/>
      <c r="Z229" s="4"/>
      <c r="AA229" s="4"/>
      <c r="AB229" s="3"/>
      <c r="AC229" s="3"/>
      <c r="AD229" s="3"/>
      <c r="AZ229" s="3"/>
    </row>
    <row r="230" ht="15.75" customHeight="1">
      <c r="A230" s="4"/>
      <c r="B230" s="4"/>
      <c r="C230" s="4"/>
      <c r="D230" s="4"/>
      <c r="E230" s="3"/>
      <c r="F230" s="4"/>
      <c r="G230" s="4"/>
      <c r="H230" s="4"/>
      <c r="I230" s="4"/>
      <c r="J230" s="4"/>
      <c r="K230" s="4"/>
      <c r="L230" s="4"/>
      <c r="M230" s="4"/>
      <c r="N230" s="5"/>
      <c r="O230" s="4"/>
      <c r="P230" s="4"/>
      <c r="Q230" s="4"/>
      <c r="R230" s="4"/>
      <c r="S230" s="4"/>
      <c r="T230" s="4"/>
      <c r="U230" s="4"/>
      <c r="V230" s="4"/>
      <c r="W230" s="4"/>
      <c r="X230" s="4"/>
      <c r="Y230" s="4"/>
      <c r="Z230" s="4"/>
      <c r="AA230" s="4"/>
      <c r="AB230" s="3"/>
      <c r="AC230" s="3"/>
      <c r="AD230" s="3"/>
      <c r="AZ230" s="3"/>
    </row>
    <row r="231" ht="15.75" customHeight="1">
      <c r="A231" s="4"/>
      <c r="B231" s="4"/>
      <c r="C231" s="4"/>
      <c r="D231" s="4"/>
      <c r="E231" s="3"/>
      <c r="F231" s="4"/>
      <c r="G231" s="4"/>
      <c r="H231" s="4"/>
      <c r="I231" s="4"/>
      <c r="J231" s="4"/>
      <c r="K231" s="4"/>
      <c r="L231" s="4"/>
      <c r="M231" s="4"/>
      <c r="N231" s="5"/>
      <c r="O231" s="4"/>
      <c r="P231" s="4"/>
      <c r="Q231" s="4"/>
      <c r="R231" s="4"/>
      <c r="S231" s="4"/>
      <c r="T231" s="4"/>
      <c r="U231" s="4"/>
      <c r="V231" s="4"/>
      <c r="W231" s="4"/>
      <c r="X231" s="4"/>
      <c r="Y231" s="4"/>
      <c r="Z231" s="4"/>
      <c r="AA231" s="4"/>
      <c r="AB231" s="3"/>
      <c r="AC231" s="3"/>
      <c r="AD231" s="3"/>
      <c r="AZ231" s="3"/>
    </row>
    <row r="232" ht="15.75" customHeight="1">
      <c r="A232" s="4"/>
      <c r="B232" s="4"/>
      <c r="C232" s="4"/>
      <c r="D232" s="4"/>
      <c r="E232" s="3"/>
      <c r="F232" s="4"/>
      <c r="G232" s="4"/>
      <c r="H232" s="4"/>
      <c r="I232" s="4"/>
      <c r="J232" s="4"/>
      <c r="K232" s="4"/>
      <c r="L232" s="4"/>
      <c r="M232" s="4"/>
      <c r="N232" s="5"/>
      <c r="O232" s="4"/>
      <c r="P232" s="4"/>
      <c r="Q232" s="4"/>
      <c r="R232" s="4"/>
      <c r="S232" s="4"/>
      <c r="T232" s="4"/>
      <c r="U232" s="4"/>
      <c r="V232" s="4"/>
      <c r="W232" s="4"/>
      <c r="X232" s="4"/>
      <c r="Y232" s="4"/>
      <c r="Z232" s="4"/>
      <c r="AA232" s="4"/>
      <c r="AB232" s="3"/>
      <c r="AC232" s="3"/>
      <c r="AD232" s="3"/>
      <c r="AZ232" s="3"/>
    </row>
    <row r="233" ht="15.75" customHeight="1">
      <c r="A233" s="4"/>
      <c r="B233" s="4"/>
      <c r="C233" s="4"/>
      <c r="D233" s="4"/>
      <c r="E233" s="3"/>
      <c r="F233" s="4"/>
      <c r="G233" s="4"/>
      <c r="H233" s="4"/>
      <c r="I233" s="4"/>
      <c r="J233" s="4"/>
      <c r="K233" s="4"/>
      <c r="L233" s="4"/>
      <c r="M233" s="4"/>
      <c r="N233" s="5"/>
      <c r="O233" s="4"/>
      <c r="P233" s="4"/>
      <c r="Q233" s="4"/>
      <c r="R233" s="4"/>
      <c r="S233" s="4"/>
      <c r="T233" s="4"/>
      <c r="U233" s="4"/>
      <c r="V233" s="4"/>
      <c r="W233" s="4"/>
      <c r="X233" s="4"/>
      <c r="Y233" s="4"/>
      <c r="Z233" s="4"/>
      <c r="AA233" s="4"/>
      <c r="AB233" s="3"/>
      <c r="AC233" s="3"/>
      <c r="AD233" s="3"/>
      <c r="AZ233" s="3"/>
    </row>
    <row r="234" ht="15.75" customHeight="1">
      <c r="A234" s="4"/>
      <c r="B234" s="4"/>
      <c r="C234" s="4"/>
      <c r="D234" s="4"/>
      <c r="E234" s="3"/>
      <c r="F234" s="4"/>
      <c r="G234" s="4"/>
      <c r="H234" s="4"/>
      <c r="I234" s="4"/>
      <c r="J234" s="4"/>
      <c r="K234" s="4"/>
      <c r="L234" s="4"/>
      <c r="M234" s="4"/>
      <c r="N234" s="5"/>
      <c r="O234" s="4"/>
      <c r="P234" s="4"/>
      <c r="Q234" s="4"/>
      <c r="R234" s="4"/>
      <c r="S234" s="4"/>
      <c r="T234" s="4"/>
      <c r="U234" s="4"/>
      <c r="V234" s="4"/>
      <c r="W234" s="4"/>
      <c r="X234" s="4"/>
      <c r="Y234" s="4"/>
      <c r="Z234" s="4"/>
      <c r="AA234" s="4"/>
      <c r="AB234" s="3"/>
      <c r="AC234" s="3"/>
      <c r="AD234" s="3"/>
      <c r="AZ234" s="3"/>
    </row>
    <row r="235" ht="15.75" customHeight="1">
      <c r="A235" s="4"/>
      <c r="B235" s="4"/>
      <c r="C235" s="4"/>
      <c r="D235" s="4"/>
      <c r="E235" s="3"/>
      <c r="F235" s="4"/>
      <c r="G235" s="4"/>
      <c r="H235" s="4"/>
      <c r="I235" s="4"/>
      <c r="J235" s="4"/>
      <c r="K235" s="4"/>
      <c r="L235" s="4"/>
      <c r="M235" s="4"/>
      <c r="N235" s="5"/>
      <c r="O235" s="4"/>
      <c r="P235" s="4"/>
      <c r="Q235" s="4"/>
      <c r="R235" s="4"/>
      <c r="S235" s="4"/>
      <c r="T235" s="4"/>
      <c r="U235" s="4"/>
      <c r="V235" s="4"/>
      <c r="W235" s="4"/>
      <c r="X235" s="4"/>
      <c r="Y235" s="4"/>
      <c r="Z235" s="4"/>
      <c r="AA235" s="4"/>
      <c r="AB235" s="3"/>
      <c r="AC235" s="3"/>
      <c r="AD235" s="3"/>
      <c r="AZ235" s="3"/>
    </row>
    <row r="236" ht="15.75" customHeight="1">
      <c r="A236" s="4"/>
      <c r="B236" s="4"/>
      <c r="C236" s="4"/>
      <c r="D236" s="4"/>
      <c r="E236" s="3"/>
      <c r="F236" s="4"/>
      <c r="G236" s="4"/>
      <c r="H236" s="4"/>
      <c r="I236" s="4"/>
      <c r="J236" s="4"/>
      <c r="K236" s="4"/>
      <c r="L236" s="4"/>
      <c r="M236" s="4"/>
      <c r="N236" s="5"/>
      <c r="O236" s="4"/>
      <c r="P236" s="4"/>
      <c r="Q236" s="4"/>
      <c r="R236" s="4"/>
      <c r="S236" s="4"/>
      <c r="T236" s="4"/>
      <c r="U236" s="4"/>
      <c r="V236" s="4"/>
      <c r="W236" s="4"/>
      <c r="X236" s="4"/>
      <c r="Y236" s="4"/>
      <c r="Z236" s="4"/>
      <c r="AA236" s="4"/>
      <c r="AB236" s="3"/>
      <c r="AC236" s="3"/>
      <c r="AD236" s="3"/>
      <c r="AZ236" s="3"/>
    </row>
    <row r="237" ht="15.75" customHeight="1">
      <c r="A237" s="4"/>
      <c r="B237" s="4"/>
      <c r="C237" s="4"/>
      <c r="D237" s="4"/>
      <c r="E237" s="3"/>
      <c r="F237" s="4"/>
      <c r="G237" s="4"/>
      <c r="H237" s="4"/>
      <c r="I237" s="4"/>
      <c r="J237" s="4"/>
      <c r="K237" s="4"/>
      <c r="L237" s="4"/>
      <c r="M237" s="4"/>
      <c r="N237" s="5"/>
      <c r="O237" s="4"/>
      <c r="P237" s="4"/>
      <c r="Q237" s="4"/>
      <c r="R237" s="4"/>
      <c r="S237" s="4"/>
      <c r="T237" s="4"/>
      <c r="U237" s="4"/>
      <c r="V237" s="4"/>
      <c r="W237" s="4"/>
      <c r="X237" s="4"/>
      <c r="Y237" s="4"/>
      <c r="Z237" s="4"/>
      <c r="AA237" s="4"/>
      <c r="AB237" s="3"/>
      <c r="AC237" s="3"/>
      <c r="AD237" s="3"/>
      <c r="A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Z1000" s="3"/>
    </row>
  </sheetData>
  <autoFilter ref="$A$2:$AC$37"/>
  <mergeCells count="38">
    <mergeCell ref="E7:E9"/>
    <mergeCell ref="F7:K7"/>
    <mergeCell ref="F8:G8"/>
    <mergeCell ref="H8:I8"/>
    <mergeCell ref="J8:K8"/>
    <mergeCell ref="A10:L10"/>
    <mergeCell ref="A37:C37"/>
    <mergeCell ref="R8:R9"/>
    <mergeCell ref="S8:S9"/>
    <mergeCell ref="U8:U9"/>
    <mergeCell ref="V8:V9"/>
    <mergeCell ref="W8:W9"/>
    <mergeCell ref="X8:X9"/>
    <mergeCell ref="Y8:Y9"/>
    <mergeCell ref="Z8:Z9"/>
    <mergeCell ref="A2:AC2"/>
    <mergeCell ref="A3:D3"/>
    <mergeCell ref="A4:D4"/>
    <mergeCell ref="A5:D5"/>
    <mergeCell ref="A7:A9"/>
    <mergeCell ref="B7:B9"/>
    <mergeCell ref="AC7:AC9"/>
    <mergeCell ref="AA8:AA9"/>
    <mergeCell ref="C7:C9"/>
    <mergeCell ref="D7:D9"/>
    <mergeCell ref="L7:L9"/>
    <mergeCell ref="M7:M9"/>
    <mergeCell ref="N7:N9"/>
    <mergeCell ref="O7:O9"/>
    <mergeCell ref="N6:S6"/>
    <mergeCell ref="Q7:S7"/>
    <mergeCell ref="T7:T9"/>
    <mergeCell ref="U7:Y7"/>
    <mergeCell ref="Z7:AA7"/>
    <mergeCell ref="AB7:AB9"/>
    <mergeCell ref="AD7:AD9"/>
    <mergeCell ref="P7:P9"/>
    <mergeCell ref="Q8:Q9"/>
  </mergeCells>
  <conditionalFormatting sqref="U11:Y36">
    <cfRule type="cellIs" dxfId="0" priority="1" operator="equal">
      <formula>"5 - Sangat Tinggi"</formula>
    </cfRule>
  </conditionalFormatting>
  <conditionalFormatting sqref="U11:Y36">
    <cfRule type="cellIs" dxfId="1" priority="2" operator="equal">
      <formula>"4 - Tinggi"</formula>
    </cfRule>
  </conditionalFormatting>
  <conditionalFormatting sqref="U11:Y36">
    <cfRule type="cellIs" dxfId="2" priority="3" operator="equal">
      <formula>"3 - Sederhana"</formula>
    </cfRule>
  </conditionalFormatting>
  <conditionalFormatting sqref="U11:Y36">
    <cfRule type="cellIs" dxfId="3" priority="4" operator="equal">
      <formula>"2 - Rendah"</formula>
    </cfRule>
  </conditionalFormatting>
  <conditionalFormatting sqref="U11:Y36">
    <cfRule type="cellIs" dxfId="4" priority="5" operator="equal">
      <formula>"1 - Sangat Rendah"</formula>
    </cfRule>
  </conditionalFormatting>
  <conditionalFormatting sqref="Z11:Z36">
    <cfRule type="colorScale" priority="6">
      <colorScale>
        <cfvo type="formula" val="1"/>
        <cfvo type="formula" val="3"/>
        <cfvo type="formula" val="5"/>
        <color rgb="FF2E75B6"/>
        <color rgb="FFFFEB84"/>
        <color rgb="FFC00000"/>
      </colorScale>
    </cfRule>
  </conditionalFormatting>
  <conditionalFormatting sqref="AA11:AA36">
    <cfRule type="cellIs" dxfId="5" priority="7" operator="equal">
      <formula>"TINGGI"</formula>
    </cfRule>
  </conditionalFormatting>
  <conditionalFormatting sqref="AA11:AA36">
    <cfRule type="cellIs" dxfId="6" priority="8" operator="equal">
      <formula>"SEDERHANA"</formula>
    </cfRule>
  </conditionalFormatting>
  <conditionalFormatting sqref="AA11:AA36">
    <cfRule type="cellIs" dxfId="7" priority="9" operator="equal">
      <formula>"RENDAH"</formula>
    </cfRule>
  </conditionalFormatting>
  <dataValidations>
    <dataValidation type="decimal" allowBlank="1" showInputMessage="1" showErrorMessage="1" prompt="Nilai tidak sah - Sila masukkan nombor 1 hingga 5" sqref="AC11:AC36">
      <formula1>1.0</formula1>
      <formula2>5.0</formula2>
    </dataValidation>
    <dataValidation type="list" allowBlank="1" showInputMessage="1" showErrorMessage="1" prompt="Nilai tidak sah - Sila pilih dari senarai dropdown" sqref="U11:Y36">
      <formula1>"5 - Sangat Tinggi,4 - Tinggi,3 - Sederhana,2 - Rendah,1 - Sangat Rendah"</formula1>
    </dataValidation>
  </dataValidations>
  <printOptions/>
  <pageMargins bottom="0.75" footer="0.0" header="0.0" left="0.25" right="0.25" top="0.75"/>
  <pageSetup fitToHeight="0"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workbookViewId="0">
      <pane xSplit="5.0" ySplit="4.0" topLeftCell="F5" activePane="bottomRight" state="frozen"/>
      <selection activeCell="F1" sqref="F1" pane="topRight"/>
      <selection activeCell="A5" sqref="A5" pane="bottomLeft"/>
      <selection activeCell="F5" sqref="F5" pane="bottomRight"/>
    </sheetView>
  </sheetViews>
  <sheetFormatPr customHeight="1" defaultColWidth="14.43" defaultRowHeight="15.0"/>
  <cols>
    <col customWidth="1" min="1" max="1" width="8.0"/>
    <col customWidth="1" min="2" max="2" width="6.0"/>
    <col customWidth="1" min="3" max="3" width="35.0"/>
    <col customWidth="1" min="4" max="4" width="10.0"/>
    <col customWidth="1" min="5" max="5" width="14.0"/>
    <col customWidth="1" min="6" max="6" width="28.0"/>
    <col customWidth="1" min="7" max="7" width="20.0"/>
    <col customWidth="1" min="8" max="8" width="16.0"/>
    <col customWidth="1" min="9" max="9" width="25.0"/>
    <col customWidth="1" hidden="1" min="10" max="10" width="10.0"/>
    <col customWidth="1" hidden="1" min="11" max="11" width="12.0"/>
  </cols>
  <sheetData>
    <row r="1" ht="27.75" customHeight="1">
      <c r="A1" s="109" t="s">
        <v>90</v>
      </c>
      <c r="B1" s="110"/>
      <c r="C1" s="110"/>
      <c r="D1" s="110"/>
      <c r="E1" s="110"/>
      <c r="F1" s="110"/>
      <c r="G1" s="110"/>
      <c r="H1" s="111"/>
      <c r="I1" s="3"/>
      <c r="J1" s="3"/>
      <c r="K1" s="3"/>
    </row>
    <row r="2" ht="21.75" customHeight="1">
      <c r="A2" s="112" t="s">
        <v>91</v>
      </c>
      <c r="B2" s="110"/>
      <c r="C2" s="110"/>
      <c r="D2" s="110"/>
      <c r="E2" s="110"/>
      <c r="F2" s="110"/>
      <c r="G2" s="110"/>
      <c r="H2" s="111"/>
      <c r="I2" s="3"/>
      <c r="J2" s="3"/>
      <c r="K2" s="3"/>
    </row>
    <row r="3" ht="7.5" customHeight="1">
      <c r="A3" s="3"/>
      <c r="B3" s="3"/>
      <c r="C3" s="3"/>
      <c r="D3" s="3"/>
      <c r="E3" s="3"/>
      <c r="F3" s="3"/>
      <c r="G3" s="3"/>
      <c r="H3" s="3"/>
      <c r="I3" s="3"/>
      <c r="J3" s="3"/>
      <c r="K3" s="113">
        <f>COUNTA(F5:F134)</f>
        <v>12</v>
      </c>
    </row>
    <row r="4" ht="69.75" customHeight="1">
      <c r="A4" s="114" t="s">
        <v>92</v>
      </c>
      <c r="B4" s="114" t="s">
        <v>93</v>
      </c>
      <c r="C4" s="114" t="s">
        <v>94</v>
      </c>
      <c r="D4" s="114" t="s">
        <v>95</v>
      </c>
      <c r="E4" s="114" t="s">
        <v>31</v>
      </c>
      <c r="F4" s="114" t="s">
        <v>96</v>
      </c>
      <c r="G4" s="114" t="s">
        <v>97</v>
      </c>
      <c r="H4" s="114" t="s">
        <v>98</v>
      </c>
      <c r="I4" s="114" t="s">
        <v>14</v>
      </c>
      <c r="J4" s="3"/>
      <c r="K4" s="114" t="s">
        <v>99</v>
      </c>
    </row>
    <row r="5" ht="24.0" customHeight="1">
      <c r="A5" s="115">
        <v>1.0</v>
      </c>
      <c r="B5" s="116">
        <v>1.0</v>
      </c>
      <c r="C5" s="83" t="str">
        <f>'Data &amp; Matriks'!B11</f>
        <v>Pegawai Perubatan</v>
      </c>
      <c r="D5" s="64" t="str">
        <f>'Data &amp; Matriks'!C11</f>
        <v>UD15</v>
      </c>
      <c r="E5" s="117" t="str">
        <f>IF('Data &amp; Matriks'!AA11="","",'Data &amp; Matriks'!AA11)</f>
        <v>TINGGI</v>
      </c>
      <c r="F5" s="117" t="s">
        <v>100</v>
      </c>
      <c r="G5" s="64" t="s">
        <v>101</v>
      </c>
      <c r="H5" s="64">
        <v>2.0</v>
      </c>
      <c r="I5" s="83"/>
      <c r="J5" s="65">
        <f>'Data &amp; Matriks'!AC11</f>
        <v>1</v>
      </c>
      <c r="K5" s="118">
        <f>IF(AND(F5="",G5=""),"",IF(E5="TINGGI",3000000,IF(E5="SEDERHANA",2000000,IF(E5="RENDAH",1000000,500000)))+(139-5))</f>
        <v>3000134</v>
      </c>
    </row>
    <row r="6" ht="24.0" customHeight="1">
      <c r="A6" s="32"/>
      <c r="B6" s="116">
        <v>2.0</v>
      </c>
      <c r="C6" s="83" t="str">
        <f>'Data &amp; Matriks'!B11</f>
        <v>Pegawai Perubatan</v>
      </c>
      <c r="D6" s="64" t="str">
        <f>'Data &amp; Matriks'!C11</f>
        <v>UD15</v>
      </c>
      <c r="E6" s="117" t="str">
        <f>IF('Data &amp; Matriks'!AA11="","",'Data &amp; Matriks'!AA11)</f>
        <v>TINGGI</v>
      </c>
      <c r="F6" s="83"/>
      <c r="G6" s="64"/>
      <c r="H6" s="64"/>
      <c r="I6" s="83"/>
      <c r="J6" s="65">
        <f>'Data &amp; Matriks'!AC11</f>
        <v>1</v>
      </c>
      <c r="K6" s="118" t="str">
        <f>IF(AND(F6="",G6=""),"",IF(E6="TINGGI",3000000,IF(E6="SEDERHANA",2000000,IF(E6="RENDAH",1000000,500000)))+(139-6))</f>
        <v/>
      </c>
    </row>
    <row r="7" ht="24.0" customHeight="1">
      <c r="A7" s="32"/>
      <c r="B7" s="116">
        <v>3.0</v>
      </c>
      <c r="C7" s="83" t="str">
        <f>'Data &amp; Matriks'!B11</f>
        <v>Pegawai Perubatan</v>
      </c>
      <c r="D7" s="64" t="str">
        <f>'Data &amp; Matriks'!C11</f>
        <v>UD15</v>
      </c>
      <c r="E7" s="117" t="str">
        <f>IF('Data &amp; Matriks'!AA11="","",'Data &amp; Matriks'!AA11)</f>
        <v>TINGGI</v>
      </c>
      <c r="F7" s="83"/>
      <c r="G7" s="64"/>
      <c r="H7" s="64"/>
      <c r="I7" s="83"/>
      <c r="J7" s="65">
        <f>'Data &amp; Matriks'!AC11</f>
        <v>1</v>
      </c>
      <c r="K7" s="118" t="str">
        <f>IF(AND(F7="",G7=""),"",IF(E7="TINGGI",3000000,IF(E7="SEDERHANA",2000000,IF(E7="RENDAH",1000000,500000)))+(139-7))</f>
        <v/>
      </c>
    </row>
    <row r="8" ht="24.0" customHeight="1">
      <c r="A8" s="32"/>
      <c r="B8" s="116">
        <v>4.0</v>
      </c>
      <c r="C8" s="83" t="str">
        <f>'Data &amp; Matriks'!B11</f>
        <v>Pegawai Perubatan</v>
      </c>
      <c r="D8" s="64" t="str">
        <f>'Data &amp; Matriks'!C11</f>
        <v>UD15</v>
      </c>
      <c r="E8" s="117" t="str">
        <f>IF('Data &amp; Matriks'!AA11="","",'Data &amp; Matriks'!AA11)</f>
        <v>TINGGI</v>
      </c>
      <c r="F8" s="83"/>
      <c r="G8" s="64"/>
      <c r="H8" s="64"/>
      <c r="I8" s="83"/>
      <c r="J8" s="65">
        <f>'Data &amp; Matriks'!AC11</f>
        <v>1</v>
      </c>
      <c r="K8" s="118" t="str">
        <f>IF(AND(F8="",G8=""),"",IF(E8="TINGGI",3000000,IF(E8="SEDERHANA",2000000,IF(E8="RENDAH",1000000,500000)))+(139-8))</f>
        <v/>
      </c>
    </row>
    <row r="9" ht="24.0" customHeight="1">
      <c r="A9" s="40"/>
      <c r="B9" s="116">
        <v>5.0</v>
      </c>
      <c r="C9" s="83" t="str">
        <f>'Data &amp; Matriks'!B11</f>
        <v>Pegawai Perubatan</v>
      </c>
      <c r="D9" s="64" t="str">
        <f>'Data &amp; Matriks'!C11</f>
        <v>UD15</v>
      </c>
      <c r="E9" s="117" t="str">
        <f>IF('Data &amp; Matriks'!AA11="","",'Data &amp; Matriks'!AA11)</f>
        <v>TINGGI</v>
      </c>
      <c r="F9" s="83"/>
      <c r="G9" s="64"/>
      <c r="H9" s="64"/>
      <c r="I9" s="83"/>
      <c r="J9" s="65">
        <f>'Data &amp; Matriks'!AC11</f>
        <v>1</v>
      </c>
      <c r="K9" s="118" t="str">
        <f>IF(AND(F9="",G9=""),"",IF(E9="TINGGI",3000000,IF(E9="SEDERHANA",2000000,IF(E9="RENDAH",1000000,500000)))+(139-9))</f>
        <v/>
      </c>
    </row>
    <row r="10" ht="24.0" customHeight="1">
      <c r="A10" s="115">
        <v>2.0</v>
      </c>
      <c r="B10" s="116">
        <v>1.0</v>
      </c>
      <c r="C10" s="83" t="str">
        <f>'Data &amp; Matriks'!B12</f>
        <v>Pegawai Perubatan</v>
      </c>
      <c r="D10" s="64" t="str">
        <f>'Data &amp; Matriks'!C12</f>
        <v>UD13</v>
      </c>
      <c r="E10" s="117" t="str">
        <f>IF('Data &amp; Matriks'!AA12="","",'Data &amp; Matriks'!AA12)</f>
        <v>SEDERHANA</v>
      </c>
      <c r="F10" s="117" t="s">
        <v>100</v>
      </c>
      <c r="G10" s="64" t="s">
        <v>101</v>
      </c>
      <c r="H10" s="64">
        <v>1.0</v>
      </c>
      <c r="I10" s="83"/>
      <c r="J10" s="65">
        <f>'Data &amp; Matriks'!AC12</f>
        <v>1</v>
      </c>
      <c r="K10" s="118">
        <f>IF(AND(F10="",G10=""),"",IF(E10="TINGGI",3000000,IF(E10="SEDERHANA",2000000,IF(E10="RENDAH",1000000,500000)))+(139-10))</f>
        <v>2000129</v>
      </c>
    </row>
    <row r="11" ht="24.0" customHeight="1">
      <c r="A11" s="32"/>
      <c r="B11" s="116">
        <v>2.0</v>
      </c>
      <c r="C11" s="83" t="str">
        <f>'Data &amp; Matriks'!B12</f>
        <v>Pegawai Perubatan</v>
      </c>
      <c r="D11" s="64" t="str">
        <f>'Data &amp; Matriks'!C12</f>
        <v>UD13</v>
      </c>
      <c r="E11" s="117" t="str">
        <f>IF('Data &amp; Matriks'!AA12="","",'Data &amp; Matriks'!AA12)</f>
        <v>SEDERHANA</v>
      </c>
      <c r="F11" s="83"/>
      <c r="G11" s="64"/>
      <c r="H11" s="64"/>
      <c r="I11" s="83"/>
      <c r="J11" s="65">
        <f>'Data &amp; Matriks'!AC12</f>
        <v>1</v>
      </c>
      <c r="K11" s="118" t="str">
        <f>IF(AND(F11="",G11=""),"",IF(E11="TINGGI",3000000,IF(E11="SEDERHANA",2000000,IF(E11="RENDAH",1000000,500000)))+(139-11))</f>
        <v/>
      </c>
    </row>
    <row r="12" ht="24.0" customHeight="1">
      <c r="A12" s="32"/>
      <c r="B12" s="116">
        <v>3.0</v>
      </c>
      <c r="C12" s="83" t="str">
        <f>'Data &amp; Matriks'!B12</f>
        <v>Pegawai Perubatan</v>
      </c>
      <c r="D12" s="64" t="str">
        <f>'Data &amp; Matriks'!C12</f>
        <v>UD13</v>
      </c>
      <c r="E12" s="117" t="str">
        <f>IF('Data &amp; Matriks'!AA12="","",'Data &amp; Matriks'!AA12)</f>
        <v>SEDERHANA</v>
      </c>
      <c r="F12" s="83"/>
      <c r="G12" s="64"/>
      <c r="H12" s="64"/>
      <c r="I12" s="83"/>
      <c r="J12" s="65">
        <f>'Data &amp; Matriks'!AC12</f>
        <v>1</v>
      </c>
      <c r="K12" s="118" t="str">
        <f>IF(AND(F12="",G12=""),"",IF(E12="TINGGI",3000000,IF(E12="SEDERHANA",2000000,IF(E12="RENDAH",1000000,500000)))+(139-12))</f>
        <v/>
      </c>
    </row>
    <row r="13" ht="24.0" customHeight="1">
      <c r="A13" s="32"/>
      <c r="B13" s="116">
        <v>4.0</v>
      </c>
      <c r="C13" s="83" t="str">
        <f>'Data &amp; Matriks'!B12</f>
        <v>Pegawai Perubatan</v>
      </c>
      <c r="D13" s="64" t="str">
        <f>'Data &amp; Matriks'!C12</f>
        <v>UD13</v>
      </c>
      <c r="E13" s="117" t="str">
        <f>IF('Data &amp; Matriks'!AA12="","",'Data &amp; Matriks'!AA12)</f>
        <v>SEDERHANA</v>
      </c>
      <c r="F13" s="83"/>
      <c r="G13" s="64"/>
      <c r="H13" s="64"/>
      <c r="I13" s="83"/>
      <c r="J13" s="65">
        <f>'Data &amp; Matriks'!AC12</f>
        <v>1</v>
      </c>
      <c r="K13" s="118" t="str">
        <f>IF(AND(F13="",G13=""),"",IF(E13="TINGGI",3000000,IF(E13="SEDERHANA",2000000,IF(E13="RENDAH",1000000,500000)))+(139-13))</f>
        <v/>
      </c>
    </row>
    <row r="14" ht="24.0" customHeight="1">
      <c r="A14" s="40"/>
      <c r="B14" s="116">
        <v>5.0</v>
      </c>
      <c r="C14" s="83" t="str">
        <f>'Data &amp; Matriks'!B12</f>
        <v>Pegawai Perubatan</v>
      </c>
      <c r="D14" s="64" t="str">
        <f>'Data &amp; Matriks'!C12</f>
        <v>UD13</v>
      </c>
      <c r="E14" s="117" t="str">
        <f>IF('Data &amp; Matriks'!AA12="","",'Data &amp; Matriks'!AA12)</f>
        <v>SEDERHANA</v>
      </c>
      <c r="F14" s="83"/>
      <c r="G14" s="64"/>
      <c r="H14" s="64"/>
      <c r="I14" s="83"/>
      <c r="J14" s="65">
        <f>'Data &amp; Matriks'!AC12</f>
        <v>1</v>
      </c>
      <c r="K14" s="118" t="str">
        <f>IF(AND(F14="",G14=""),"",IF(E14="TINGGI",3000000,IF(E14="SEDERHANA",2000000,IF(E14="RENDAH",1000000,500000)))+(139-14))</f>
        <v/>
      </c>
    </row>
    <row r="15" ht="24.0" customHeight="1">
      <c r="A15" s="115">
        <v>3.0</v>
      </c>
      <c r="B15" s="116">
        <v>1.0</v>
      </c>
      <c r="C15" s="83" t="str">
        <f>'Data &amp; Matriks'!B13</f>
        <v>Pegawai Perubatan</v>
      </c>
      <c r="D15" s="64" t="str">
        <f>'Data &amp; Matriks'!C13</f>
        <v>UD10</v>
      </c>
      <c r="E15" s="117" t="str">
        <f>IF('Data &amp; Matriks'!AA13="","",'Data &amp; Matriks'!AA13)</f>
        <v>TINGGI</v>
      </c>
      <c r="F15" s="83" t="s">
        <v>102</v>
      </c>
      <c r="G15" s="64" t="s">
        <v>103</v>
      </c>
      <c r="H15" s="64">
        <v>1455.0</v>
      </c>
      <c r="I15" s="83"/>
      <c r="J15" s="65">
        <f>'Data &amp; Matriks'!AC13</f>
        <v>2</v>
      </c>
      <c r="K15" s="118">
        <f>IF(AND(F15="",G15=""),"",IF(E15="TINGGI",3000000,IF(E15="SEDERHANA",2000000,IF(E15="RENDAH",1000000,500000)))+(139-15))</f>
        <v>3000124</v>
      </c>
    </row>
    <row r="16" ht="24.0" customHeight="1">
      <c r="A16" s="32"/>
      <c r="B16" s="116">
        <v>2.0</v>
      </c>
      <c r="C16" s="83" t="str">
        <f>'Data &amp; Matriks'!B13</f>
        <v>Pegawai Perubatan</v>
      </c>
      <c r="D16" s="64" t="str">
        <f>'Data &amp; Matriks'!C13</f>
        <v>UD10</v>
      </c>
      <c r="E16" s="117" t="str">
        <f>IF('Data &amp; Matriks'!AA13="","",'Data &amp; Matriks'!AA13)</f>
        <v>TINGGI</v>
      </c>
      <c r="F16" s="83" t="s">
        <v>104</v>
      </c>
      <c r="G16" s="64" t="s">
        <v>105</v>
      </c>
      <c r="H16" s="64">
        <v>306.0</v>
      </c>
      <c r="I16" s="83"/>
      <c r="J16" s="65">
        <f>'Data &amp; Matriks'!AC13</f>
        <v>2</v>
      </c>
      <c r="K16" s="118">
        <f>IF(AND(F16="",G16=""),"",IF(E16="TINGGI",3000000,IF(E16="SEDERHANA",2000000,IF(E16="RENDAH",1000000,500000)))+(139-16))</f>
        <v>3000123</v>
      </c>
    </row>
    <row r="17" ht="24.0" customHeight="1">
      <c r="A17" s="32"/>
      <c r="B17" s="116">
        <v>3.0</v>
      </c>
      <c r="C17" s="83" t="str">
        <f>'Data &amp; Matriks'!B13</f>
        <v>Pegawai Perubatan</v>
      </c>
      <c r="D17" s="64" t="str">
        <f>'Data &amp; Matriks'!C13</f>
        <v>UD10</v>
      </c>
      <c r="E17" s="117" t="str">
        <f>IF('Data &amp; Matriks'!AA13="","",'Data &amp; Matriks'!AA13)</f>
        <v>TINGGI</v>
      </c>
      <c r="F17" s="83"/>
      <c r="G17" s="64"/>
      <c r="H17" s="64"/>
      <c r="I17" s="83"/>
      <c r="J17" s="65">
        <f>'Data &amp; Matriks'!AC13</f>
        <v>2</v>
      </c>
      <c r="K17" s="118" t="str">
        <f>IF(AND(F17="",G17=""),"",IF(E17="TINGGI",3000000,IF(E17="SEDERHANA",2000000,IF(E17="RENDAH",1000000,500000)))+(139-17))</f>
        <v/>
      </c>
    </row>
    <row r="18" ht="24.0" customHeight="1">
      <c r="A18" s="32"/>
      <c r="B18" s="116">
        <v>4.0</v>
      </c>
      <c r="C18" s="83" t="str">
        <f>'Data &amp; Matriks'!B13</f>
        <v>Pegawai Perubatan</v>
      </c>
      <c r="D18" s="64" t="str">
        <f>'Data &amp; Matriks'!C13</f>
        <v>UD10</v>
      </c>
      <c r="E18" s="117" t="str">
        <f>IF('Data &amp; Matriks'!AA13="","",'Data &amp; Matriks'!AA13)</f>
        <v>TINGGI</v>
      </c>
      <c r="F18" s="83"/>
      <c r="G18" s="64"/>
      <c r="H18" s="64"/>
      <c r="I18" s="83"/>
      <c r="J18" s="65">
        <f>'Data &amp; Matriks'!AC13</f>
        <v>2</v>
      </c>
      <c r="K18" s="118" t="str">
        <f>IF(AND(F18="",G18=""),"",IF(E18="TINGGI",3000000,IF(E18="SEDERHANA",2000000,IF(E18="RENDAH",1000000,500000)))+(139-18))</f>
        <v/>
      </c>
    </row>
    <row r="19" ht="24.0" customHeight="1">
      <c r="A19" s="40"/>
      <c r="B19" s="116">
        <v>5.0</v>
      </c>
      <c r="C19" s="83" t="str">
        <f>'Data &amp; Matriks'!B13</f>
        <v>Pegawai Perubatan</v>
      </c>
      <c r="D19" s="64" t="str">
        <f>'Data &amp; Matriks'!C13</f>
        <v>UD10</v>
      </c>
      <c r="E19" s="117" t="str">
        <f>IF('Data &amp; Matriks'!AA13="","",'Data &amp; Matriks'!AA13)</f>
        <v>TINGGI</v>
      </c>
      <c r="F19" s="83"/>
      <c r="G19" s="64"/>
      <c r="H19" s="64"/>
      <c r="I19" s="83"/>
      <c r="J19" s="65">
        <f>'Data &amp; Matriks'!AC13</f>
        <v>2</v>
      </c>
      <c r="K19" s="118" t="str">
        <f>IF(AND(F19="",G19=""),"",IF(E19="TINGGI",3000000,IF(E19="SEDERHANA",2000000,IF(E19="RENDAH",1000000,500000)))+(139-19))</f>
        <v/>
      </c>
    </row>
    <row r="20" ht="24.0" customHeight="1">
      <c r="A20" s="115">
        <v>4.0</v>
      </c>
      <c r="B20" s="116">
        <v>1.0</v>
      </c>
      <c r="C20" s="83" t="str">
        <f>'Data &amp; Matriks'!B14</f>
        <v>Pegawai Pergigian</v>
      </c>
      <c r="D20" s="64" t="str">
        <f>'Data &amp; Matriks'!C14</f>
        <v>UG10</v>
      </c>
      <c r="E20" s="117" t="str">
        <f>IF('Data &amp; Matriks'!AA14="","",'Data &amp; Matriks'!AA14)</f>
        <v>TINGGI</v>
      </c>
      <c r="F20" s="83" t="s">
        <v>49</v>
      </c>
      <c r="G20" s="64" t="s">
        <v>105</v>
      </c>
      <c r="H20" s="64">
        <v>500.0</v>
      </c>
      <c r="I20" s="83"/>
      <c r="J20" s="65">
        <f>'Data &amp; Matriks'!AC14</f>
        <v>1</v>
      </c>
      <c r="K20" s="118">
        <f>IF(AND(F20="",G20=""),"",IF(E20="TINGGI",3000000,IF(E20="SEDERHANA",2000000,IF(E20="RENDAH",1000000,500000)))+(139-20))</f>
        <v>3000119</v>
      </c>
    </row>
    <row r="21" ht="24.0" customHeight="1">
      <c r="A21" s="32"/>
      <c r="B21" s="116">
        <v>2.0</v>
      </c>
      <c r="C21" s="83" t="str">
        <f>'Data &amp; Matriks'!B14</f>
        <v>Pegawai Pergigian</v>
      </c>
      <c r="D21" s="64" t="str">
        <f>'Data &amp; Matriks'!C14</f>
        <v>UG10</v>
      </c>
      <c r="E21" s="117" t="str">
        <f>IF('Data &amp; Matriks'!AA14="","",'Data &amp; Matriks'!AA14)</f>
        <v>TINGGI</v>
      </c>
      <c r="F21" s="83"/>
      <c r="G21" s="64"/>
      <c r="H21" s="64"/>
      <c r="I21" s="83"/>
      <c r="J21" s="65">
        <f>'Data &amp; Matriks'!AC14</f>
        <v>1</v>
      </c>
      <c r="K21" s="118" t="str">
        <f>IF(AND(F21="",G21=""),"",IF(E21="TINGGI",3000000,IF(E21="SEDERHANA",2000000,IF(E21="RENDAH",1000000,500000)))+(139-21))</f>
        <v/>
      </c>
    </row>
    <row r="22" ht="24.0" customHeight="1">
      <c r="A22" s="32"/>
      <c r="B22" s="116">
        <v>3.0</v>
      </c>
      <c r="C22" s="83" t="str">
        <f>'Data &amp; Matriks'!B14</f>
        <v>Pegawai Pergigian</v>
      </c>
      <c r="D22" s="64" t="str">
        <f>'Data &amp; Matriks'!C14</f>
        <v>UG10</v>
      </c>
      <c r="E22" s="117" t="str">
        <f>IF('Data &amp; Matriks'!AA14="","",'Data &amp; Matriks'!AA14)</f>
        <v>TINGGI</v>
      </c>
      <c r="F22" s="83"/>
      <c r="G22" s="64"/>
      <c r="H22" s="64"/>
      <c r="I22" s="83"/>
      <c r="J22" s="65">
        <f>'Data &amp; Matriks'!AC14</f>
        <v>1</v>
      </c>
      <c r="K22" s="118" t="str">
        <f>IF(AND(F22="",G22=""),"",IF(E22="TINGGI",3000000,IF(E22="SEDERHANA",2000000,IF(E22="RENDAH",1000000,500000)))+(139-22))</f>
        <v/>
      </c>
    </row>
    <row r="23" ht="24.0" customHeight="1">
      <c r="A23" s="32"/>
      <c r="B23" s="116">
        <v>4.0</v>
      </c>
      <c r="C23" s="83" t="str">
        <f>'Data &amp; Matriks'!B14</f>
        <v>Pegawai Pergigian</v>
      </c>
      <c r="D23" s="64" t="str">
        <f>'Data &amp; Matriks'!C14</f>
        <v>UG10</v>
      </c>
      <c r="E23" s="117" t="str">
        <f>IF('Data &amp; Matriks'!AA14="","",'Data &amp; Matriks'!AA14)</f>
        <v>TINGGI</v>
      </c>
      <c r="F23" s="3"/>
      <c r="G23" s="64"/>
      <c r="H23" s="64"/>
      <c r="I23" s="83"/>
      <c r="J23" s="65">
        <f>'Data &amp; Matriks'!AC14</f>
        <v>1</v>
      </c>
      <c r="K23" s="118" t="str">
        <f>IF(AND(F23="",G23=""),"",IF(E23="TINGGI",3000000,IF(E23="SEDERHANA",2000000,IF(E23="RENDAH",1000000,500000)))+(139-23))</f>
        <v/>
      </c>
    </row>
    <row r="24" ht="24.0" customHeight="1">
      <c r="A24" s="40"/>
      <c r="B24" s="116">
        <v>5.0</v>
      </c>
      <c r="C24" s="83" t="str">
        <f>'Data &amp; Matriks'!B14</f>
        <v>Pegawai Pergigian</v>
      </c>
      <c r="D24" s="64" t="str">
        <f>'Data &amp; Matriks'!C14</f>
        <v>UG10</v>
      </c>
      <c r="E24" s="117" t="str">
        <f>IF('Data &amp; Matriks'!AA14="","",'Data &amp; Matriks'!AA14)</f>
        <v>TINGGI</v>
      </c>
      <c r="F24" s="83"/>
      <c r="G24" s="64"/>
      <c r="H24" s="64"/>
      <c r="I24" s="83"/>
      <c r="J24" s="65">
        <f>'Data &amp; Matriks'!AC14</f>
        <v>1</v>
      </c>
      <c r="K24" s="118" t="str">
        <f>IF(AND(F24="",G24=""),"",IF(E24="TINGGI",3000000,IF(E24="SEDERHANA",2000000,IF(E24="RENDAH",1000000,500000)))+(139-24))</f>
        <v/>
      </c>
    </row>
    <row r="25" ht="24.0" customHeight="1">
      <c r="A25" s="115">
        <v>5.0</v>
      </c>
      <c r="B25" s="116">
        <v>1.0</v>
      </c>
      <c r="C25" s="83" t="str">
        <f>'Data &amp; Matriks'!B15</f>
        <v>Pegawai Farmasi</v>
      </c>
      <c r="D25" s="64" t="str">
        <f>'Data &amp; Matriks'!C15</f>
        <v>UF10</v>
      </c>
      <c r="E25" s="117" t="str">
        <f>IF('Data &amp; Matriks'!AA15="","",'Data &amp; Matriks'!AA15)</f>
        <v>RENDAH</v>
      </c>
      <c r="F25" s="83"/>
      <c r="G25" s="64"/>
      <c r="H25" s="64"/>
      <c r="I25" s="83"/>
      <c r="J25" s="65" t="str">
        <f>'Data &amp; Matriks'!AC15</f>
        <v/>
      </c>
      <c r="K25" s="118" t="str">
        <f>IF(AND(F25="",G25=""),"",IF(E25="TINGGI",3000000,IF(E25="SEDERHANA",2000000,IF(E25="RENDAH",1000000,500000)))+(139-25))</f>
        <v/>
      </c>
    </row>
    <row r="26" ht="24.0" customHeight="1">
      <c r="A26" s="32"/>
      <c r="B26" s="116">
        <v>2.0</v>
      </c>
      <c r="C26" s="83" t="str">
        <f>'Data &amp; Matriks'!B15</f>
        <v>Pegawai Farmasi</v>
      </c>
      <c r="D26" s="64" t="str">
        <f>'Data &amp; Matriks'!C15</f>
        <v>UF10</v>
      </c>
      <c r="E26" s="117" t="str">
        <f>IF('Data &amp; Matriks'!AA15="","",'Data &amp; Matriks'!AA15)</f>
        <v>RENDAH</v>
      </c>
      <c r="F26" s="83"/>
      <c r="G26" s="64"/>
      <c r="H26" s="64"/>
      <c r="I26" s="83"/>
      <c r="J26" s="65" t="str">
        <f>'Data &amp; Matriks'!AC15</f>
        <v/>
      </c>
      <c r="K26" s="118" t="str">
        <f>IF(AND(F26="",G26=""),"",IF(E26="TINGGI",3000000,IF(E26="SEDERHANA",2000000,IF(E26="RENDAH",1000000,500000)))+(139-26))</f>
        <v/>
      </c>
    </row>
    <row r="27" ht="24.0" customHeight="1">
      <c r="A27" s="32"/>
      <c r="B27" s="116">
        <v>3.0</v>
      </c>
      <c r="C27" s="83" t="str">
        <f>'Data &amp; Matriks'!B15</f>
        <v>Pegawai Farmasi</v>
      </c>
      <c r="D27" s="64" t="str">
        <f>'Data &amp; Matriks'!C15</f>
        <v>UF10</v>
      </c>
      <c r="E27" s="117" t="str">
        <f>IF('Data &amp; Matriks'!AA15="","",'Data &amp; Matriks'!AA15)</f>
        <v>RENDAH</v>
      </c>
      <c r="F27" s="83"/>
      <c r="G27" s="64"/>
      <c r="H27" s="64"/>
      <c r="I27" s="83"/>
      <c r="J27" s="65" t="str">
        <f>'Data &amp; Matriks'!AC15</f>
        <v/>
      </c>
      <c r="K27" s="118" t="str">
        <f>IF(AND(F27="",G27=""),"",IF(E27="TINGGI",3000000,IF(E27="SEDERHANA",2000000,IF(E27="RENDAH",1000000,500000)))+(139-27))</f>
        <v/>
      </c>
    </row>
    <row r="28" ht="24.0" customHeight="1">
      <c r="A28" s="32"/>
      <c r="B28" s="116">
        <v>4.0</v>
      </c>
      <c r="C28" s="83" t="str">
        <f>'Data &amp; Matriks'!B15</f>
        <v>Pegawai Farmasi</v>
      </c>
      <c r="D28" s="64" t="str">
        <f>'Data &amp; Matriks'!C15</f>
        <v>UF10</v>
      </c>
      <c r="E28" s="117" t="str">
        <f>IF('Data &amp; Matriks'!AA15="","",'Data &amp; Matriks'!AA15)</f>
        <v>RENDAH</v>
      </c>
      <c r="F28" s="83"/>
      <c r="G28" s="64"/>
      <c r="H28" s="64"/>
      <c r="I28" s="83"/>
      <c r="J28" s="65" t="str">
        <f>'Data &amp; Matriks'!AC15</f>
        <v/>
      </c>
      <c r="K28" s="118" t="str">
        <f>IF(AND(F28="",G28=""),"",IF(E28="TINGGI",3000000,IF(E28="SEDERHANA",2000000,IF(E28="RENDAH",1000000,500000)))+(139-28))</f>
        <v/>
      </c>
    </row>
    <row r="29" ht="24.0" customHeight="1">
      <c r="A29" s="40"/>
      <c r="B29" s="116">
        <v>5.0</v>
      </c>
      <c r="C29" s="83" t="str">
        <f>'Data &amp; Matriks'!B15</f>
        <v>Pegawai Farmasi</v>
      </c>
      <c r="D29" s="64" t="str">
        <f>'Data &amp; Matriks'!C15</f>
        <v>UF10</v>
      </c>
      <c r="E29" s="117" t="str">
        <f>IF('Data &amp; Matriks'!AA15="","",'Data &amp; Matriks'!AA15)</f>
        <v>RENDAH</v>
      </c>
      <c r="F29" s="83"/>
      <c r="G29" s="64"/>
      <c r="H29" s="64"/>
      <c r="I29" s="83"/>
      <c r="J29" s="65" t="str">
        <f>'Data &amp; Matriks'!AC15</f>
        <v/>
      </c>
      <c r="K29" s="118" t="str">
        <f>IF(AND(F29="",G29=""),"",IF(E29="TINGGI",3000000,IF(E29="SEDERHANA",2000000,IF(E29="RENDAH",1000000,500000)))+(139-29))</f>
        <v/>
      </c>
    </row>
    <row r="30" ht="24.0" customHeight="1">
      <c r="A30" s="115">
        <v>6.0</v>
      </c>
      <c r="B30" s="116">
        <v>1.0</v>
      </c>
      <c r="C30" s="83" t="str">
        <f>'Data &amp; Matriks'!B16</f>
        <v>Pegawai Dietetik</v>
      </c>
      <c r="D30" s="64" t="str">
        <f>'Data &amp; Matriks'!C16</f>
        <v>U9</v>
      </c>
      <c r="E30" s="117" t="str">
        <f>IF('Data &amp; Matriks'!AA16="","",'Data &amp; Matriks'!AA16)</f>
        <v>RENDAH</v>
      </c>
      <c r="F30" s="83" t="s">
        <v>106</v>
      </c>
      <c r="G30" s="64" t="s">
        <v>103</v>
      </c>
      <c r="H30" s="64">
        <v>70.0</v>
      </c>
      <c r="I30" s="83"/>
      <c r="J30" s="65">
        <f>'Data &amp; Matriks'!AC16</f>
        <v>2</v>
      </c>
      <c r="K30" s="118">
        <f>IF(AND(F30="",G30=""),"",IF(E30="TINGGI",3000000,IF(E30="SEDERHANA",2000000,IF(E30="RENDAH",1000000,500000)))+(139-30))</f>
        <v>1000109</v>
      </c>
    </row>
    <row r="31" ht="24.0" customHeight="1">
      <c r="A31" s="32"/>
      <c r="B31" s="116">
        <v>2.0</v>
      </c>
      <c r="C31" s="83" t="str">
        <f>'Data &amp; Matriks'!B16</f>
        <v>Pegawai Dietetik</v>
      </c>
      <c r="D31" s="64" t="str">
        <f>'Data &amp; Matriks'!C16</f>
        <v>U9</v>
      </c>
      <c r="E31" s="117" t="str">
        <f>IF('Data &amp; Matriks'!AA16="","",'Data &amp; Matriks'!AA16)</f>
        <v>RENDAH</v>
      </c>
      <c r="F31" s="83" t="s">
        <v>100</v>
      </c>
      <c r="G31" s="64" t="s">
        <v>101</v>
      </c>
      <c r="H31" s="64">
        <v>6.0</v>
      </c>
      <c r="I31" s="83"/>
      <c r="J31" s="65">
        <f>'Data &amp; Matriks'!AC16</f>
        <v>2</v>
      </c>
      <c r="K31" s="118">
        <f>IF(AND(F31="",G31=""),"",IF(E31="TINGGI",3000000,IF(E31="SEDERHANA",2000000,IF(E31="RENDAH",1000000,500000)))+(139-31))</f>
        <v>1000108</v>
      </c>
    </row>
    <row r="32" ht="24.0" customHeight="1">
      <c r="A32" s="32"/>
      <c r="B32" s="116">
        <v>3.0</v>
      </c>
      <c r="C32" s="83" t="str">
        <f>'Data &amp; Matriks'!B16</f>
        <v>Pegawai Dietetik</v>
      </c>
      <c r="D32" s="64" t="str">
        <f>'Data &amp; Matriks'!C16</f>
        <v>U9</v>
      </c>
      <c r="E32" s="117" t="str">
        <f>IF('Data &amp; Matriks'!AA16="","",'Data &amp; Matriks'!AA16)</f>
        <v>RENDAH</v>
      </c>
      <c r="F32" s="83"/>
      <c r="G32" s="64"/>
      <c r="H32" s="64"/>
      <c r="I32" s="83"/>
      <c r="J32" s="65">
        <f>'Data &amp; Matriks'!AC16</f>
        <v>2</v>
      </c>
      <c r="K32" s="118" t="str">
        <f>IF(AND(F32="",G32=""),"",IF(E32="TINGGI",3000000,IF(E32="SEDERHANA",2000000,IF(E32="RENDAH",1000000,500000)))+(139-32))</f>
        <v/>
      </c>
    </row>
    <row r="33" ht="24.0" customHeight="1">
      <c r="A33" s="32"/>
      <c r="B33" s="116">
        <v>4.0</v>
      </c>
      <c r="C33" s="83" t="str">
        <f>'Data &amp; Matriks'!B16</f>
        <v>Pegawai Dietetik</v>
      </c>
      <c r="D33" s="64" t="str">
        <f>'Data &amp; Matriks'!C16</f>
        <v>U9</v>
      </c>
      <c r="E33" s="117" t="str">
        <f>IF('Data &amp; Matriks'!AA16="","",'Data &amp; Matriks'!AA16)</f>
        <v>RENDAH</v>
      </c>
      <c r="F33" s="83"/>
      <c r="G33" s="64"/>
      <c r="H33" s="64"/>
      <c r="I33" s="83"/>
      <c r="J33" s="65">
        <f>'Data &amp; Matriks'!AC16</f>
        <v>2</v>
      </c>
      <c r="K33" s="118" t="str">
        <f>IF(AND(F33="",G33=""),"",IF(E33="TINGGI",3000000,IF(E33="SEDERHANA",2000000,IF(E33="RENDAH",1000000,500000)))+(139-33))</f>
        <v/>
      </c>
    </row>
    <row r="34" ht="24.0" customHeight="1">
      <c r="A34" s="40"/>
      <c r="B34" s="116">
        <v>5.0</v>
      </c>
      <c r="C34" s="83" t="str">
        <f>'Data &amp; Matriks'!B16</f>
        <v>Pegawai Dietetik</v>
      </c>
      <c r="D34" s="64" t="str">
        <f>'Data &amp; Matriks'!C16</f>
        <v>U9</v>
      </c>
      <c r="E34" s="117" t="str">
        <f>IF('Data &amp; Matriks'!AA16="","",'Data &amp; Matriks'!AA16)</f>
        <v>RENDAH</v>
      </c>
      <c r="F34" s="83"/>
      <c r="G34" s="64"/>
      <c r="H34" s="64"/>
      <c r="I34" s="83"/>
      <c r="J34" s="65">
        <f>'Data &amp; Matriks'!AC16</f>
        <v>2</v>
      </c>
      <c r="K34" s="118" t="str">
        <f>IF(AND(F34="",G34=""),"",IF(E34="TINGGI",3000000,IF(E34="SEDERHANA",2000000,IF(E34="RENDAH",1000000,500000)))+(139-34))</f>
        <v/>
      </c>
    </row>
    <row r="35" ht="24.0" customHeight="1">
      <c r="A35" s="115">
        <v>7.0</v>
      </c>
      <c r="B35" s="116">
        <v>1.0</v>
      </c>
      <c r="C35" s="83" t="str">
        <f>'Data &amp; Matriks'!B17</f>
        <v>Pegawai Pemulihan Perubatan (Pendengaran)</v>
      </c>
      <c r="D35" s="64" t="str">
        <f>'Data &amp; Matriks'!C17</f>
        <v>U9</v>
      </c>
      <c r="E35" s="117" t="str">
        <f>IF('Data &amp; Matriks'!AA17="","",'Data &amp; Matriks'!AA17)</f>
        <v>RENDAH</v>
      </c>
      <c r="F35" s="83"/>
      <c r="G35" s="64" t="s">
        <v>101</v>
      </c>
      <c r="H35" s="64">
        <v>13.0</v>
      </c>
      <c r="I35" s="83"/>
      <c r="J35" s="65">
        <f>'Data &amp; Matriks'!AC17</f>
        <v>1</v>
      </c>
      <c r="K35" s="118">
        <f>IF(AND(F35="",G35=""),"",IF(E35="TINGGI",3000000,IF(E35="SEDERHANA",2000000,IF(E35="RENDAH",1000000,500000)))+(139-35))</f>
        <v>1000104</v>
      </c>
    </row>
    <row r="36" ht="24.0" customHeight="1">
      <c r="A36" s="32"/>
      <c r="B36" s="116">
        <v>2.0</v>
      </c>
      <c r="C36" s="83" t="str">
        <f>'Data &amp; Matriks'!B17</f>
        <v>Pegawai Pemulihan Perubatan (Pendengaran)</v>
      </c>
      <c r="D36" s="64" t="str">
        <f>'Data &amp; Matriks'!C17</f>
        <v>U9</v>
      </c>
      <c r="E36" s="117" t="str">
        <f>IF('Data &amp; Matriks'!AA17="","",'Data &amp; Matriks'!AA17)</f>
        <v>RENDAH</v>
      </c>
      <c r="F36" s="83"/>
      <c r="G36" s="64"/>
      <c r="H36" s="64"/>
      <c r="I36" s="83"/>
      <c r="J36" s="65">
        <f>'Data &amp; Matriks'!AC17</f>
        <v>1</v>
      </c>
      <c r="K36" s="118" t="str">
        <f>IF(AND(F36="",G36=""),"",IF(E36="TINGGI",3000000,IF(E36="SEDERHANA",2000000,IF(E36="RENDAH",1000000,500000)))+(139-36))</f>
        <v/>
      </c>
    </row>
    <row r="37" ht="24.0" customHeight="1">
      <c r="A37" s="32"/>
      <c r="B37" s="116">
        <v>3.0</v>
      </c>
      <c r="C37" s="83" t="str">
        <f>'Data &amp; Matriks'!B17</f>
        <v>Pegawai Pemulihan Perubatan (Pendengaran)</v>
      </c>
      <c r="D37" s="64" t="str">
        <f>'Data &amp; Matriks'!C17</f>
        <v>U9</v>
      </c>
      <c r="E37" s="117" t="str">
        <f>IF('Data &amp; Matriks'!AA17="","",'Data &amp; Matriks'!AA17)</f>
        <v>RENDAH</v>
      </c>
      <c r="F37" s="83"/>
      <c r="G37" s="64"/>
      <c r="H37" s="64"/>
      <c r="I37" s="83"/>
      <c r="J37" s="65">
        <f>'Data &amp; Matriks'!AC17</f>
        <v>1</v>
      </c>
      <c r="K37" s="118" t="str">
        <f>IF(AND(F37="",G37=""),"",IF(E37="TINGGI",3000000,IF(E37="SEDERHANA",2000000,IF(E37="RENDAH",1000000,500000)))+(139-37))</f>
        <v/>
      </c>
    </row>
    <row r="38" ht="24.0" customHeight="1">
      <c r="A38" s="32"/>
      <c r="B38" s="116">
        <v>4.0</v>
      </c>
      <c r="C38" s="83" t="str">
        <f>'Data &amp; Matriks'!B17</f>
        <v>Pegawai Pemulihan Perubatan (Pendengaran)</v>
      </c>
      <c r="D38" s="64" t="str">
        <f>'Data &amp; Matriks'!C17</f>
        <v>U9</v>
      </c>
      <c r="E38" s="117" t="str">
        <f>IF('Data &amp; Matriks'!AA17="","",'Data &amp; Matriks'!AA17)</f>
        <v>RENDAH</v>
      </c>
      <c r="F38" s="83"/>
      <c r="G38" s="64"/>
      <c r="H38" s="64"/>
      <c r="I38" s="83"/>
      <c r="J38" s="65">
        <f>'Data &amp; Matriks'!AC17</f>
        <v>1</v>
      </c>
      <c r="K38" s="118" t="str">
        <f>IF(AND(F38="",G38=""),"",IF(E38="TINGGI",3000000,IF(E38="SEDERHANA",2000000,IF(E38="RENDAH",1000000,500000)))+(139-38))</f>
        <v/>
      </c>
    </row>
    <row r="39" ht="24.0" customHeight="1">
      <c r="A39" s="40"/>
      <c r="B39" s="116">
        <v>5.0</v>
      </c>
      <c r="C39" s="83" t="str">
        <f>'Data &amp; Matriks'!B17</f>
        <v>Pegawai Pemulihan Perubatan (Pendengaran)</v>
      </c>
      <c r="D39" s="64" t="str">
        <f>'Data &amp; Matriks'!C17</f>
        <v>U9</v>
      </c>
      <c r="E39" s="117" t="str">
        <f>IF('Data &amp; Matriks'!AA17="","",'Data &amp; Matriks'!AA17)</f>
        <v>RENDAH</v>
      </c>
      <c r="F39" s="83"/>
      <c r="G39" s="64"/>
      <c r="H39" s="64"/>
      <c r="I39" s="83"/>
      <c r="J39" s="65">
        <f>'Data &amp; Matriks'!AC17</f>
        <v>1</v>
      </c>
      <c r="K39" s="118" t="str">
        <f>IF(AND(F39="",G39=""),"",IF(E39="TINGGI",3000000,IF(E39="SEDERHANA",2000000,IF(E39="RENDAH",1000000,500000)))+(139-39))</f>
        <v/>
      </c>
    </row>
    <row r="40" ht="24.0" customHeight="1">
      <c r="A40" s="115">
        <v>8.0</v>
      </c>
      <c r="B40" s="116">
        <v>1.0</v>
      </c>
      <c r="C40" s="83" t="str">
        <f>'Data &amp; Matriks'!B18</f>
        <v>Pegawai Pemulihan Perubatan (Pertuturan)</v>
      </c>
      <c r="D40" s="64" t="str">
        <f>'Data &amp; Matriks'!C18</f>
        <v>U9</v>
      </c>
      <c r="E40" s="117" t="str">
        <f>IF('Data &amp; Matriks'!AA18="","",'Data &amp; Matriks'!AA18)</f>
        <v>SEDERHANA</v>
      </c>
      <c r="F40" s="83"/>
      <c r="G40" s="64" t="s">
        <v>101</v>
      </c>
      <c r="H40" s="64">
        <v>65.0</v>
      </c>
      <c r="I40" s="83"/>
      <c r="J40" s="65">
        <f>'Data &amp; Matriks'!AC18</f>
        <v>1</v>
      </c>
      <c r="K40" s="118">
        <f>IF(AND(F40="",G40=""),"",IF(E40="TINGGI",3000000,IF(E40="SEDERHANA",2000000,IF(E40="RENDAH",1000000,500000)))+(139-40))</f>
        <v>2000099</v>
      </c>
    </row>
    <row r="41" ht="24.0" customHeight="1">
      <c r="A41" s="32"/>
      <c r="B41" s="116">
        <v>2.0</v>
      </c>
      <c r="C41" s="83" t="str">
        <f>'Data &amp; Matriks'!B18</f>
        <v>Pegawai Pemulihan Perubatan (Pertuturan)</v>
      </c>
      <c r="D41" s="64" t="str">
        <f>'Data &amp; Matriks'!C18</f>
        <v>U9</v>
      </c>
      <c r="E41" s="117" t="str">
        <f>IF('Data &amp; Matriks'!AA18="","",'Data &amp; Matriks'!AA18)</f>
        <v>SEDERHANA</v>
      </c>
      <c r="F41" s="83"/>
      <c r="G41" s="64"/>
      <c r="H41" s="64"/>
      <c r="I41" s="83"/>
      <c r="J41" s="65">
        <f>'Data &amp; Matriks'!AC18</f>
        <v>1</v>
      </c>
      <c r="K41" s="118" t="str">
        <f>IF(AND(F41="",G41=""),"",IF(E41="TINGGI",3000000,IF(E41="SEDERHANA",2000000,IF(E41="RENDAH",1000000,500000)))+(139-41))</f>
        <v/>
      </c>
    </row>
    <row r="42" ht="24.0" customHeight="1">
      <c r="A42" s="32"/>
      <c r="B42" s="116">
        <v>3.0</v>
      </c>
      <c r="C42" s="83" t="str">
        <f>'Data &amp; Matriks'!B18</f>
        <v>Pegawai Pemulihan Perubatan (Pertuturan)</v>
      </c>
      <c r="D42" s="64" t="str">
        <f>'Data &amp; Matriks'!C18</f>
        <v>U9</v>
      </c>
      <c r="E42" s="117" t="str">
        <f>IF('Data &amp; Matriks'!AA18="","",'Data &amp; Matriks'!AA18)</f>
        <v>SEDERHANA</v>
      </c>
      <c r="F42" s="83"/>
      <c r="G42" s="64"/>
      <c r="H42" s="64"/>
      <c r="I42" s="83"/>
      <c r="J42" s="65">
        <f>'Data &amp; Matriks'!AC18</f>
        <v>1</v>
      </c>
      <c r="K42" s="118" t="str">
        <f>IF(AND(F42="",G42=""),"",IF(E42="TINGGI",3000000,IF(E42="SEDERHANA",2000000,IF(E42="RENDAH",1000000,500000)))+(139-42))</f>
        <v/>
      </c>
    </row>
    <row r="43" ht="24.0" customHeight="1">
      <c r="A43" s="32"/>
      <c r="B43" s="116">
        <v>4.0</v>
      </c>
      <c r="C43" s="83" t="str">
        <f>'Data &amp; Matriks'!B18</f>
        <v>Pegawai Pemulihan Perubatan (Pertuturan)</v>
      </c>
      <c r="D43" s="64" t="str">
        <f>'Data &amp; Matriks'!C18</f>
        <v>U9</v>
      </c>
      <c r="E43" s="117" t="str">
        <f>IF('Data &amp; Matriks'!AA18="","",'Data &amp; Matriks'!AA18)</f>
        <v>SEDERHANA</v>
      </c>
      <c r="F43" s="83"/>
      <c r="G43" s="64"/>
      <c r="H43" s="64"/>
      <c r="I43" s="83"/>
      <c r="J43" s="65">
        <f>'Data &amp; Matriks'!AC18</f>
        <v>1</v>
      </c>
      <c r="K43" s="118" t="str">
        <f>IF(AND(F43="",G43=""),"",IF(E43="TINGGI",3000000,IF(E43="SEDERHANA",2000000,IF(E43="RENDAH",1000000,500000)))+(139-43))</f>
        <v/>
      </c>
    </row>
    <row r="44" ht="24.0" customHeight="1">
      <c r="A44" s="40"/>
      <c r="B44" s="116">
        <v>5.0</v>
      </c>
      <c r="C44" s="83" t="str">
        <f>'Data &amp; Matriks'!B18</f>
        <v>Pegawai Pemulihan Perubatan (Pertuturan)</v>
      </c>
      <c r="D44" s="64" t="str">
        <f>'Data &amp; Matriks'!C18</f>
        <v>U9</v>
      </c>
      <c r="E44" s="117" t="str">
        <f>IF('Data &amp; Matriks'!AA18="","",'Data &amp; Matriks'!AA18)</f>
        <v>SEDERHANA</v>
      </c>
      <c r="F44" s="83"/>
      <c r="G44" s="64"/>
      <c r="H44" s="64"/>
      <c r="I44" s="83"/>
      <c r="J44" s="65">
        <f>'Data &amp; Matriks'!AC18</f>
        <v>1</v>
      </c>
      <c r="K44" s="118" t="str">
        <f>IF(AND(F44="",G44=""),"",IF(E44="TINGGI",3000000,IF(E44="SEDERHANA",2000000,IF(E44="RENDAH",1000000,500000)))+(139-44))</f>
        <v/>
      </c>
    </row>
    <row r="45" ht="24.0" customHeight="1">
      <c r="A45" s="115">
        <v>9.0</v>
      </c>
      <c r="B45" s="116">
        <v>1.0</v>
      </c>
      <c r="C45" s="83" t="str">
        <f>'Data &amp; Matriks'!B19</f>
        <v>Pegawai Pemulihan Perubatan (Fisioterapi)</v>
      </c>
      <c r="D45" s="64" t="str">
        <f>'Data &amp; Matriks'!C19</f>
        <v>U9</v>
      </c>
      <c r="E45" s="117" t="str">
        <f>IF('Data &amp; Matriks'!AA19="","",'Data &amp; Matriks'!AA19)</f>
        <v>SEDERHANA</v>
      </c>
      <c r="F45" s="83"/>
      <c r="G45" s="64" t="s">
        <v>101</v>
      </c>
      <c r="H45" s="64">
        <v>53.0</v>
      </c>
      <c r="I45" s="83"/>
      <c r="J45" s="65">
        <f>'Data &amp; Matriks'!AC19</f>
        <v>1</v>
      </c>
      <c r="K45" s="118">
        <f>IF(AND(F45="",G45=""),"",IF(E45="TINGGI",3000000,IF(E45="SEDERHANA",2000000,IF(E45="RENDAH",1000000,500000)))+(139-45))</f>
        <v>2000094</v>
      </c>
    </row>
    <row r="46" ht="24.0" customHeight="1">
      <c r="A46" s="32"/>
      <c r="B46" s="116">
        <v>2.0</v>
      </c>
      <c r="C46" s="83" t="str">
        <f>'Data &amp; Matriks'!B19</f>
        <v>Pegawai Pemulihan Perubatan (Fisioterapi)</v>
      </c>
      <c r="D46" s="64" t="str">
        <f>'Data &amp; Matriks'!C19</f>
        <v>U9</v>
      </c>
      <c r="E46" s="117" t="str">
        <f>IF('Data &amp; Matriks'!AA19="","",'Data &amp; Matriks'!AA19)</f>
        <v>SEDERHANA</v>
      </c>
      <c r="F46" s="83"/>
      <c r="G46" s="64"/>
      <c r="H46" s="64"/>
      <c r="I46" s="83"/>
      <c r="J46" s="65">
        <f>'Data &amp; Matriks'!AC19</f>
        <v>1</v>
      </c>
      <c r="K46" s="118" t="str">
        <f>IF(AND(F46="",G46=""),"",IF(E46="TINGGI",3000000,IF(E46="SEDERHANA",2000000,IF(E46="RENDAH",1000000,500000)))+(139-46))</f>
        <v/>
      </c>
    </row>
    <row r="47" ht="24.0" customHeight="1">
      <c r="A47" s="32"/>
      <c r="B47" s="116">
        <v>3.0</v>
      </c>
      <c r="C47" s="83" t="str">
        <f>'Data &amp; Matriks'!B19</f>
        <v>Pegawai Pemulihan Perubatan (Fisioterapi)</v>
      </c>
      <c r="D47" s="64" t="str">
        <f>'Data &amp; Matriks'!C19</f>
        <v>U9</v>
      </c>
      <c r="E47" s="117" t="str">
        <f>IF('Data &amp; Matriks'!AA19="","",'Data &amp; Matriks'!AA19)</f>
        <v>SEDERHANA</v>
      </c>
      <c r="F47" s="83"/>
      <c r="G47" s="64"/>
      <c r="H47" s="64"/>
      <c r="I47" s="83"/>
      <c r="J47" s="65">
        <f>'Data &amp; Matriks'!AC19</f>
        <v>1</v>
      </c>
      <c r="K47" s="118" t="str">
        <f>IF(AND(F47="",G47=""),"",IF(E47="TINGGI",3000000,IF(E47="SEDERHANA",2000000,IF(E47="RENDAH",1000000,500000)))+(139-47))</f>
        <v/>
      </c>
    </row>
    <row r="48" ht="24.0" customHeight="1">
      <c r="A48" s="32"/>
      <c r="B48" s="116">
        <v>4.0</v>
      </c>
      <c r="C48" s="83" t="str">
        <f>'Data &amp; Matriks'!B19</f>
        <v>Pegawai Pemulihan Perubatan (Fisioterapi)</v>
      </c>
      <c r="D48" s="64" t="str">
        <f>'Data &amp; Matriks'!C19</f>
        <v>U9</v>
      </c>
      <c r="E48" s="117" t="str">
        <f>IF('Data &amp; Matriks'!AA19="","",'Data &amp; Matriks'!AA19)</f>
        <v>SEDERHANA</v>
      </c>
      <c r="F48" s="83"/>
      <c r="G48" s="64"/>
      <c r="H48" s="64"/>
      <c r="I48" s="83"/>
      <c r="J48" s="65">
        <f>'Data &amp; Matriks'!AC19</f>
        <v>1</v>
      </c>
      <c r="K48" s="118" t="str">
        <f>IF(AND(F48="",G48=""),"",IF(E48="TINGGI",3000000,IF(E48="SEDERHANA",2000000,IF(E48="RENDAH",1000000,500000)))+(139-48))</f>
        <v/>
      </c>
    </row>
    <row r="49" ht="24.0" customHeight="1">
      <c r="A49" s="40"/>
      <c r="B49" s="116">
        <v>5.0</v>
      </c>
      <c r="C49" s="83" t="str">
        <f>'Data &amp; Matriks'!B19</f>
        <v>Pegawai Pemulihan Perubatan (Fisioterapi)</v>
      </c>
      <c r="D49" s="64" t="str">
        <f>'Data &amp; Matriks'!C19</f>
        <v>U9</v>
      </c>
      <c r="E49" s="117" t="str">
        <f>IF('Data &amp; Matriks'!AA19="","",'Data &amp; Matriks'!AA19)</f>
        <v>SEDERHANA</v>
      </c>
      <c r="F49" s="83"/>
      <c r="G49" s="64"/>
      <c r="H49" s="64"/>
      <c r="I49" s="83"/>
      <c r="J49" s="65">
        <f>'Data &amp; Matriks'!AC19</f>
        <v>1</v>
      </c>
      <c r="K49" s="118" t="str">
        <f>IF(AND(F49="",G49=""),"",IF(E49="TINGGI",3000000,IF(E49="SEDERHANA",2000000,IF(E49="RENDAH",1000000,500000)))+(139-49))</f>
        <v/>
      </c>
    </row>
    <row r="50" ht="24.0" customHeight="1">
      <c r="A50" s="115">
        <v>10.0</v>
      </c>
      <c r="B50" s="116">
        <v>1.0</v>
      </c>
      <c r="C50" s="83" t="str">
        <f>'Data &amp; Matriks'!B20</f>
        <v>Pegawai Pemulihan Perubatan (Cara Kerja)</v>
      </c>
      <c r="D50" s="64" t="str">
        <f>'Data &amp; Matriks'!C20</f>
        <v>U9</v>
      </c>
      <c r="E50" s="117" t="str">
        <f>IF('Data &amp; Matriks'!AA20="","",'Data &amp; Matriks'!AA20)</f>
        <v>SEDERHANA</v>
      </c>
      <c r="F50" s="83"/>
      <c r="G50" s="64" t="s">
        <v>101</v>
      </c>
      <c r="H50" s="64">
        <v>41.0</v>
      </c>
      <c r="I50" s="83"/>
      <c r="J50" s="65">
        <f>'Data &amp; Matriks'!AC20</f>
        <v>1</v>
      </c>
      <c r="K50" s="118">
        <f>IF(AND(F50="",G50=""),"",IF(E50="TINGGI",3000000,IF(E50="SEDERHANA",2000000,IF(E50="RENDAH",1000000,500000)))+(139-50))</f>
        <v>2000089</v>
      </c>
    </row>
    <row r="51" ht="24.0" customHeight="1">
      <c r="A51" s="32"/>
      <c r="B51" s="116">
        <v>2.0</v>
      </c>
      <c r="C51" s="83" t="str">
        <f>'Data &amp; Matriks'!B20</f>
        <v>Pegawai Pemulihan Perubatan (Cara Kerja)</v>
      </c>
      <c r="D51" s="64" t="str">
        <f>'Data &amp; Matriks'!C20</f>
        <v>U9</v>
      </c>
      <c r="E51" s="117" t="str">
        <f>IF('Data &amp; Matriks'!AA20="","",'Data &amp; Matriks'!AA20)</f>
        <v>SEDERHANA</v>
      </c>
      <c r="F51" s="83"/>
      <c r="G51" s="64"/>
      <c r="H51" s="64"/>
      <c r="I51" s="83"/>
      <c r="J51" s="65">
        <f>'Data &amp; Matriks'!AC20</f>
        <v>1</v>
      </c>
      <c r="K51" s="118" t="str">
        <f>IF(AND(F51="",G51=""),"",IF(E51="TINGGI",3000000,IF(E51="SEDERHANA",2000000,IF(E51="RENDAH",1000000,500000)))+(139-51))</f>
        <v/>
      </c>
    </row>
    <row r="52" ht="24.0" customHeight="1">
      <c r="A52" s="32"/>
      <c r="B52" s="116">
        <v>3.0</v>
      </c>
      <c r="C52" s="83" t="str">
        <f>'Data &amp; Matriks'!B20</f>
        <v>Pegawai Pemulihan Perubatan (Cara Kerja)</v>
      </c>
      <c r="D52" s="64" t="str">
        <f>'Data &amp; Matriks'!C20</f>
        <v>U9</v>
      </c>
      <c r="E52" s="117" t="str">
        <f>IF('Data &amp; Matriks'!AA20="","",'Data &amp; Matriks'!AA20)</f>
        <v>SEDERHANA</v>
      </c>
      <c r="F52" s="83"/>
      <c r="G52" s="64"/>
      <c r="H52" s="64"/>
      <c r="I52" s="83"/>
      <c r="J52" s="65">
        <f>'Data &amp; Matriks'!AC20</f>
        <v>1</v>
      </c>
      <c r="K52" s="118" t="str">
        <f>IF(AND(F52="",G52=""),"",IF(E52="TINGGI",3000000,IF(E52="SEDERHANA",2000000,IF(E52="RENDAH",1000000,500000)))+(139-52))</f>
        <v/>
      </c>
    </row>
    <row r="53" ht="24.0" customHeight="1">
      <c r="A53" s="32"/>
      <c r="B53" s="116">
        <v>4.0</v>
      </c>
      <c r="C53" s="83" t="str">
        <f>'Data &amp; Matriks'!B20</f>
        <v>Pegawai Pemulihan Perubatan (Cara Kerja)</v>
      </c>
      <c r="D53" s="64" t="str">
        <f>'Data &amp; Matriks'!C20</f>
        <v>U9</v>
      </c>
      <c r="E53" s="117" t="str">
        <f>IF('Data &amp; Matriks'!AA20="","",'Data &amp; Matriks'!AA20)</f>
        <v>SEDERHANA</v>
      </c>
      <c r="F53" s="83"/>
      <c r="G53" s="64"/>
      <c r="H53" s="64"/>
      <c r="I53" s="83"/>
      <c r="J53" s="65">
        <f>'Data &amp; Matriks'!AC20</f>
        <v>1</v>
      </c>
      <c r="K53" s="118" t="str">
        <f>IF(AND(F53="",G53=""),"",IF(E53="TINGGI",3000000,IF(E53="SEDERHANA",2000000,IF(E53="RENDAH",1000000,500000)))+(139-53))</f>
        <v/>
      </c>
    </row>
    <row r="54" ht="24.0" customHeight="1">
      <c r="A54" s="40"/>
      <c r="B54" s="116">
        <v>5.0</v>
      </c>
      <c r="C54" s="83" t="str">
        <f>'Data &amp; Matriks'!B20</f>
        <v>Pegawai Pemulihan Perubatan (Cara Kerja)</v>
      </c>
      <c r="D54" s="64" t="str">
        <f>'Data &amp; Matriks'!C20</f>
        <v>U9</v>
      </c>
      <c r="E54" s="117" t="str">
        <f>IF('Data &amp; Matriks'!AA20="","",'Data &amp; Matriks'!AA20)</f>
        <v>SEDERHANA</v>
      </c>
      <c r="F54" s="83"/>
      <c r="G54" s="64"/>
      <c r="H54" s="64"/>
      <c r="I54" s="83"/>
      <c r="J54" s="65">
        <f>'Data &amp; Matriks'!AC20</f>
        <v>1</v>
      </c>
      <c r="K54" s="118" t="str">
        <f>IF(AND(F54="",G54=""),"",IF(E54="TINGGI",3000000,IF(E54="SEDERHANA",2000000,IF(E54="RENDAH",1000000,500000)))+(139-54))</f>
        <v/>
      </c>
    </row>
    <row r="55" ht="24.0" customHeight="1">
      <c r="A55" s="115">
        <v>11.0</v>
      </c>
      <c r="B55" s="116">
        <v>1.0</v>
      </c>
      <c r="C55" s="83" t="str">
        <f>'Data &amp; Matriks'!B21</f>
        <v>Pegawai Optometri</v>
      </c>
      <c r="D55" s="64" t="str">
        <f>'Data &amp; Matriks'!C21</f>
        <v>U9</v>
      </c>
      <c r="E55" s="117" t="str">
        <f>IF('Data &amp; Matriks'!AA21="","",'Data &amp; Matriks'!AA21)</f>
        <v>RENDAH</v>
      </c>
      <c r="F55" s="83"/>
      <c r="G55" s="64" t="s">
        <v>101</v>
      </c>
      <c r="H55" s="64">
        <v>34.0</v>
      </c>
      <c r="I55" s="83"/>
      <c r="J55" s="65">
        <f>'Data &amp; Matriks'!AC21</f>
        <v>1</v>
      </c>
      <c r="K55" s="118">
        <f>IF(AND(F55="",G55=""),"",IF(E55="TINGGI",3000000,IF(E55="SEDERHANA",2000000,IF(E55="RENDAH",1000000,500000)))+(139-55))</f>
        <v>1000084</v>
      </c>
    </row>
    <row r="56" ht="24.0" customHeight="1">
      <c r="A56" s="32"/>
      <c r="B56" s="116">
        <v>2.0</v>
      </c>
      <c r="C56" s="83" t="str">
        <f>'Data &amp; Matriks'!B21</f>
        <v>Pegawai Optometri</v>
      </c>
      <c r="D56" s="64" t="str">
        <f>'Data &amp; Matriks'!C21</f>
        <v>U9</v>
      </c>
      <c r="E56" s="117" t="str">
        <f>IF('Data &amp; Matriks'!AA21="","",'Data &amp; Matriks'!AA21)</f>
        <v>RENDAH</v>
      </c>
      <c r="F56" s="83"/>
      <c r="G56" s="64"/>
      <c r="H56" s="64"/>
      <c r="I56" s="83"/>
      <c r="J56" s="65">
        <f>'Data &amp; Matriks'!AC21</f>
        <v>1</v>
      </c>
      <c r="K56" s="118" t="str">
        <f>IF(AND(F56="",G56=""),"",IF(E56="TINGGI",3000000,IF(E56="SEDERHANA",2000000,IF(E56="RENDAH",1000000,500000)))+(139-56))</f>
        <v/>
      </c>
    </row>
    <row r="57" ht="24.0" customHeight="1">
      <c r="A57" s="32"/>
      <c r="B57" s="116">
        <v>3.0</v>
      </c>
      <c r="C57" s="83" t="str">
        <f>'Data &amp; Matriks'!B21</f>
        <v>Pegawai Optometri</v>
      </c>
      <c r="D57" s="64" t="str">
        <f>'Data &amp; Matriks'!C21</f>
        <v>U9</v>
      </c>
      <c r="E57" s="117" t="str">
        <f>IF('Data &amp; Matriks'!AA21="","",'Data &amp; Matriks'!AA21)</f>
        <v>RENDAH</v>
      </c>
      <c r="F57" s="83"/>
      <c r="G57" s="64"/>
      <c r="H57" s="64"/>
      <c r="I57" s="83"/>
      <c r="J57" s="65">
        <f>'Data &amp; Matriks'!AC21</f>
        <v>1</v>
      </c>
      <c r="K57" s="118" t="str">
        <f>IF(AND(F57="",G57=""),"",IF(E57="TINGGI",3000000,IF(E57="SEDERHANA",2000000,IF(E57="RENDAH",1000000,500000)))+(139-57))</f>
        <v/>
      </c>
    </row>
    <row r="58" ht="24.0" customHeight="1">
      <c r="A58" s="32"/>
      <c r="B58" s="116">
        <v>4.0</v>
      </c>
      <c r="C58" s="83" t="str">
        <f>'Data &amp; Matriks'!B21</f>
        <v>Pegawai Optometri</v>
      </c>
      <c r="D58" s="64" t="str">
        <f>'Data &amp; Matriks'!C21</f>
        <v>U9</v>
      </c>
      <c r="E58" s="117" t="str">
        <f>IF('Data &amp; Matriks'!AA21="","",'Data &amp; Matriks'!AA21)</f>
        <v>RENDAH</v>
      </c>
      <c r="F58" s="83"/>
      <c r="G58" s="64"/>
      <c r="H58" s="64"/>
      <c r="I58" s="83"/>
      <c r="J58" s="65">
        <f>'Data &amp; Matriks'!AC21</f>
        <v>1</v>
      </c>
      <c r="K58" s="118" t="str">
        <f>IF(AND(F58="",G58=""),"",IF(E58="TINGGI",3000000,IF(E58="SEDERHANA",2000000,IF(E58="RENDAH",1000000,500000)))+(139-58))</f>
        <v/>
      </c>
    </row>
    <row r="59" ht="24.0" customHeight="1">
      <c r="A59" s="40"/>
      <c r="B59" s="116">
        <v>5.0</v>
      </c>
      <c r="C59" s="83" t="str">
        <f>'Data &amp; Matriks'!B21</f>
        <v>Pegawai Optometri</v>
      </c>
      <c r="D59" s="64" t="str">
        <f>'Data &amp; Matriks'!C21</f>
        <v>U9</v>
      </c>
      <c r="E59" s="117" t="str">
        <f>IF('Data &amp; Matriks'!AA21="","",'Data &amp; Matriks'!AA21)</f>
        <v>RENDAH</v>
      </c>
      <c r="F59" s="83"/>
      <c r="G59" s="64"/>
      <c r="H59" s="64"/>
      <c r="I59" s="83"/>
      <c r="J59" s="65">
        <f>'Data &amp; Matriks'!AC21</f>
        <v>1</v>
      </c>
      <c r="K59" s="118" t="str">
        <f>IF(AND(F59="",G59=""),"",IF(E59="TINGGI",3000000,IF(E59="SEDERHANA",2000000,IF(E59="RENDAH",1000000,500000)))+(139-59))</f>
        <v/>
      </c>
    </row>
    <row r="60" ht="24.0" customHeight="1">
      <c r="A60" s="115">
        <v>12.0</v>
      </c>
      <c r="B60" s="116">
        <v>1.0</v>
      </c>
      <c r="C60" s="83" t="str">
        <f>'Data &amp; Matriks'!B22</f>
        <v>Pengajar (Jururawat)</v>
      </c>
      <c r="D60" s="64" t="str">
        <f>'Data &amp; Matriks'!C22</f>
        <v>U9</v>
      </c>
      <c r="E60" s="117" t="str">
        <f>IF('Data &amp; Matriks'!AA22="","",'Data &amp; Matriks'!AA22)</f>
        <v>SEDERHANA</v>
      </c>
      <c r="F60" s="83"/>
      <c r="G60" s="89" t="s">
        <v>101</v>
      </c>
      <c r="H60" s="89">
        <v>13.0</v>
      </c>
      <c r="I60" s="83"/>
      <c r="J60" s="65">
        <f>'Data &amp; Matriks'!AC22</f>
        <v>1</v>
      </c>
      <c r="K60" s="118">
        <f>IF(AND(F60="",G60=""),"",IF(E60="TINGGI",3000000,IF(E60="SEDERHANA",2000000,IF(E60="RENDAH",1000000,500000)))+(139-60))</f>
        <v>2000079</v>
      </c>
    </row>
    <row r="61" ht="24.0" customHeight="1">
      <c r="A61" s="32"/>
      <c r="B61" s="116">
        <v>2.0</v>
      </c>
      <c r="C61" s="83" t="str">
        <f>'Data &amp; Matriks'!B22</f>
        <v>Pengajar (Jururawat)</v>
      </c>
      <c r="D61" s="64" t="str">
        <f>'Data &amp; Matriks'!C22</f>
        <v>U9</v>
      </c>
      <c r="E61" s="117" t="str">
        <f>IF('Data &amp; Matriks'!AA22="","",'Data &amp; Matriks'!AA22)</f>
        <v>SEDERHANA</v>
      </c>
      <c r="F61" s="83"/>
      <c r="G61" s="64"/>
      <c r="H61" s="64"/>
      <c r="I61" s="83"/>
      <c r="J61" s="65">
        <f>'Data &amp; Matriks'!AC22</f>
        <v>1</v>
      </c>
      <c r="K61" s="118" t="str">
        <f>IF(AND(F61="",G61=""),"",IF(E61="TINGGI",3000000,IF(E61="SEDERHANA",2000000,IF(E61="RENDAH",1000000,500000)))+(139-61))</f>
        <v/>
      </c>
    </row>
    <row r="62" ht="24.0" customHeight="1">
      <c r="A62" s="32"/>
      <c r="B62" s="116">
        <v>3.0</v>
      </c>
      <c r="C62" s="83" t="str">
        <f>'Data &amp; Matriks'!B22</f>
        <v>Pengajar (Jururawat)</v>
      </c>
      <c r="D62" s="64" t="str">
        <f>'Data &amp; Matriks'!C22</f>
        <v>U9</v>
      </c>
      <c r="E62" s="117" t="str">
        <f>IF('Data &amp; Matriks'!AA22="","",'Data &amp; Matriks'!AA22)</f>
        <v>SEDERHANA</v>
      </c>
      <c r="F62" s="83"/>
      <c r="G62" s="64"/>
      <c r="H62" s="64"/>
      <c r="I62" s="83"/>
      <c r="J62" s="65">
        <f>'Data &amp; Matriks'!AC22</f>
        <v>1</v>
      </c>
      <c r="K62" s="118" t="str">
        <f>IF(AND(F62="",G62=""),"",IF(E62="TINGGI",3000000,IF(E62="SEDERHANA",2000000,IF(E62="RENDAH",1000000,500000)))+(139-62))</f>
        <v/>
      </c>
    </row>
    <row r="63" ht="24.0" customHeight="1">
      <c r="A63" s="32"/>
      <c r="B63" s="116">
        <v>4.0</v>
      </c>
      <c r="C63" s="83" t="str">
        <f>'Data &amp; Matriks'!B22</f>
        <v>Pengajar (Jururawat)</v>
      </c>
      <c r="D63" s="64" t="str">
        <f>'Data &amp; Matriks'!C22</f>
        <v>U9</v>
      </c>
      <c r="E63" s="117" t="str">
        <f>IF('Data &amp; Matriks'!AA22="","",'Data &amp; Matriks'!AA22)</f>
        <v>SEDERHANA</v>
      </c>
      <c r="F63" s="83"/>
      <c r="G63" s="64"/>
      <c r="H63" s="64"/>
      <c r="I63" s="83"/>
      <c r="J63" s="65">
        <f>'Data &amp; Matriks'!AC22</f>
        <v>1</v>
      </c>
      <c r="K63" s="118" t="str">
        <f>IF(AND(F63="",G63=""),"",IF(E63="TINGGI",3000000,IF(E63="SEDERHANA",2000000,IF(E63="RENDAH",1000000,500000)))+(139-63))</f>
        <v/>
      </c>
    </row>
    <row r="64" ht="24.0" customHeight="1">
      <c r="A64" s="40"/>
      <c r="B64" s="116">
        <v>5.0</v>
      </c>
      <c r="C64" s="83" t="str">
        <f>'Data &amp; Matriks'!B22</f>
        <v>Pengajar (Jururawat)</v>
      </c>
      <c r="D64" s="64" t="str">
        <f>'Data &amp; Matriks'!C22</f>
        <v>U9</v>
      </c>
      <c r="E64" s="117" t="str">
        <f>IF('Data &amp; Matriks'!AA22="","",'Data &amp; Matriks'!AA22)</f>
        <v>SEDERHANA</v>
      </c>
      <c r="F64" s="83"/>
      <c r="G64" s="64"/>
      <c r="H64" s="64"/>
      <c r="I64" s="83"/>
      <c r="J64" s="65">
        <f>'Data &amp; Matriks'!AC22</f>
        <v>1</v>
      </c>
      <c r="K64" s="118" t="str">
        <f>IF(AND(F64="",G64=""),"",IF(E64="TINGGI",3000000,IF(E64="SEDERHANA",2000000,IF(E64="RENDAH",1000000,500000)))+(139-64))</f>
        <v/>
      </c>
    </row>
    <row r="65" ht="24.0" customHeight="1">
      <c r="A65" s="115">
        <v>13.0</v>
      </c>
      <c r="B65" s="116">
        <v>1.0</v>
      </c>
      <c r="C65" s="83" t="str">
        <f>'Data &amp; Matriks'!B23</f>
        <v>Pengajar (Penolong Pegawai Perubatan)</v>
      </c>
      <c r="D65" s="64" t="str">
        <f>'Data &amp; Matriks'!C23</f>
        <v>U9</v>
      </c>
      <c r="E65" s="117" t="str">
        <f>IF('Data &amp; Matriks'!AA23="","",'Data &amp; Matriks'!AA23)</f>
        <v>SEDERHANA</v>
      </c>
      <c r="F65" s="83"/>
      <c r="G65" s="64" t="s">
        <v>101</v>
      </c>
      <c r="H65" s="89">
        <v>10.0</v>
      </c>
      <c r="I65" s="83"/>
      <c r="J65" s="65">
        <f>'Data &amp; Matriks'!AC23</f>
        <v>1</v>
      </c>
      <c r="K65" s="118">
        <f>IF(AND(F65="",G65=""),"",IF(E65="TINGGI",3000000,IF(E65="SEDERHANA",2000000,IF(E65="RENDAH",1000000,500000)))+(139-65))</f>
        <v>2000074</v>
      </c>
    </row>
    <row r="66" ht="24.0" customHeight="1">
      <c r="A66" s="32"/>
      <c r="B66" s="116">
        <v>2.0</v>
      </c>
      <c r="C66" s="83" t="str">
        <f>'Data &amp; Matriks'!B23</f>
        <v>Pengajar (Penolong Pegawai Perubatan)</v>
      </c>
      <c r="D66" s="64" t="str">
        <f>'Data &amp; Matriks'!C23</f>
        <v>U9</v>
      </c>
      <c r="E66" s="117" t="str">
        <f>IF('Data &amp; Matriks'!AA23="","",'Data &amp; Matriks'!AA23)</f>
        <v>SEDERHANA</v>
      </c>
      <c r="F66" s="83"/>
      <c r="G66" s="64"/>
      <c r="H66" s="64"/>
      <c r="I66" s="83"/>
      <c r="J66" s="65">
        <f>'Data &amp; Matriks'!AC23</f>
        <v>1</v>
      </c>
      <c r="K66" s="118" t="str">
        <f>IF(AND(F66="",G66=""),"",IF(E66="TINGGI",3000000,IF(E66="SEDERHANA",2000000,IF(E66="RENDAH",1000000,500000)))+(139-66))</f>
        <v/>
      </c>
    </row>
    <row r="67" ht="24.0" customHeight="1">
      <c r="A67" s="32"/>
      <c r="B67" s="116">
        <v>3.0</v>
      </c>
      <c r="C67" s="83" t="str">
        <f>'Data &amp; Matriks'!B23</f>
        <v>Pengajar (Penolong Pegawai Perubatan)</v>
      </c>
      <c r="D67" s="64" t="str">
        <f>'Data &amp; Matriks'!C23</f>
        <v>U9</v>
      </c>
      <c r="E67" s="117" t="str">
        <f>IF('Data &amp; Matriks'!AA23="","",'Data &amp; Matriks'!AA23)</f>
        <v>SEDERHANA</v>
      </c>
      <c r="F67" s="83"/>
      <c r="G67" s="64"/>
      <c r="H67" s="64"/>
      <c r="I67" s="83"/>
      <c r="J67" s="65">
        <f>'Data &amp; Matriks'!AC23</f>
        <v>1</v>
      </c>
      <c r="K67" s="118" t="str">
        <f>IF(AND(F67="",G67=""),"",IF(E67="TINGGI",3000000,IF(E67="SEDERHANA",2000000,IF(E67="RENDAH",1000000,500000)))+(139-67))</f>
        <v/>
      </c>
    </row>
    <row r="68" ht="24.0" customHeight="1">
      <c r="A68" s="32"/>
      <c r="B68" s="116">
        <v>4.0</v>
      </c>
      <c r="C68" s="83" t="str">
        <f>'Data &amp; Matriks'!B23</f>
        <v>Pengajar (Penolong Pegawai Perubatan)</v>
      </c>
      <c r="D68" s="64" t="str">
        <f>'Data &amp; Matriks'!C23</f>
        <v>U9</v>
      </c>
      <c r="E68" s="117" t="str">
        <f>IF('Data &amp; Matriks'!AA23="","",'Data &amp; Matriks'!AA23)</f>
        <v>SEDERHANA</v>
      </c>
      <c r="F68" s="83"/>
      <c r="G68" s="64"/>
      <c r="H68" s="64"/>
      <c r="I68" s="83"/>
      <c r="J68" s="65">
        <f>'Data &amp; Matriks'!AC23</f>
        <v>1</v>
      </c>
      <c r="K68" s="118" t="str">
        <f>IF(AND(F68="",G68=""),"",IF(E68="TINGGI",3000000,IF(E68="SEDERHANA",2000000,IF(E68="RENDAH",1000000,500000)))+(139-68))</f>
        <v/>
      </c>
    </row>
    <row r="69" ht="24.0" customHeight="1">
      <c r="A69" s="40"/>
      <c r="B69" s="116">
        <v>5.0</v>
      </c>
      <c r="C69" s="83" t="str">
        <f>'Data &amp; Matriks'!B23</f>
        <v>Pengajar (Penolong Pegawai Perubatan)</v>
      </c>
      <c r="D69" s="64" t="str">
        <f>'Data &amp; Matriks'!C23</f>
        <v>U9</v>
      </c>
      <c r="E69" s="117" t="str">
        <f>IF('Data &amp; Matriks'!AA23="","",'Data &amp; Matriks'!AA23)</f>
        <v>SEDERHANA</v>
      </c>
      <c r="F69" s="83"/>
      <c r="G69" s="64"/>
      <c r="H69" s="64"/>
      <c r="I69" s="83"/>
      <c r="J69" s="65">
        <f>'Data &amp; Matriks'!AC23</f>
        <v>1</v>
      </c>
      <c r="K69" s="118" t="str">
        <f>IF(AND(F69="",G69=""),"",IF(E69="TINGGI",3000000,IF(E69="SEDERHANA",2000000,IF(E69="RENDAH",1000000,500000)))+(139-69))</f>
        <v/>
      </c>
    </row>
    <row r="70" ht="24.0" customHeight="1">
      <c r="A70" s="115">
        <v>14.0</v>
      </c>
      <c r="B70" s="116">
        <v>1.0</v>
      </c>
      <c r="C70" s="83" t="str">
        <f>'Data &amp; Matriks'!B24</f>
        <v>Pengajar (Penolong Pegawai Kesihatan Persekitaran)</v>
      </c>
      <c r="D70" s="64" t="str">
        <f>'Data &amp; Matriks'!C24</f>
        <v>U9</v>
      </c>
      <c r="E70" s="117" t="str">
        <f>IF('Data &amp; Matriks'!AA24="","",'Data &amp; Matriks'!AA24)</f>
        <v>RENDAH</v>
      </c>
      <c r="F70" s="83"/>
      <c r="G70" s="64" t="s">
        <v>101</v>
      </c>
      <c r="H70" s="89">
        <v>8.0</v>
      </c>
      <c r="I70" s="83"/>
      <c r="J70" s="65">
        <f>'Data &amp; Matriks'!AC24</f>
        <v>1</v>
      </c>
      <c r="K70" s="118">
        <f>IF(AND(F70="",G70=""),"",IF(E70="TINGGI",3000000,IF(E70="SEDERHANA",2000000,IF(E70="RENDAH",1000000,500000)))+(139-70))</f>
        <v>1000069</v>
      </c>
    </row>
    <row r="71" ht="24.0" customHeight="1">
      <c r="A71" s="32"/>
      <c r="B71" s="116">
        <v>2.0</v>
      </c>
      <c r="C71" s="83" t="str">
        <f>'Data &amp; Matriks'!B24</f>
        <v>Pengajar (Penolong Pegawai Kesihatan Persekitaran)</v>
      </c>
      <c r="D71" s="64" t="str">
        <f>'Data &amp; Matriks'!C24</f>
        <v>U9</v>
      </c>
      <c r="E71" s="117" t="str">
        <f>IF('Data &amp; Matriks'!AA24="","",'Data &amp; Matriks'!AA24)</f>
        <v>RENDAH</v>
      </c>
      <c r="F71" s="83"/>
      <c r="G71" s="64"/>
      <c r="H71" s="64"/>
      <c r="I71" s="83"/>
      <c r="J71" s="65">
        <f>'Data &amp; Matriks'!AC24</f>
        <v>1</v>
      </c>
      <c r="K71" s="118" t="str">
        <f>IF(AND(F71="",G71=""),"",IF(E71="TINGGI",3000000,IF(E71="SEDERHANA",2000000,IF(E71="RENDAH",1000000,500000)))+(139-71))</f>
        <v/>
      </c>
    </row>
    <row r="72" ht="24.0" customHeight="1">
      <c r="A72" s="32"/>
      <c r="B72" s="116">
        <v>3.0</v>
      </c>
      <c r="C72" s="83" t="str">
        <f>'Data &amp; Matriks'!B24</f>
        <v>Pengajar (Penolong Pegawai Kesihatan Persekitaran)</v>
      </c>
      <c r="D72" s="64" t="str">
        <f>'Data &amp; Matriks'!C24</f>
        <v>U9</v>
      </c>
      <c r="E72" s="117" t="str">
        <f>IF('Data &amp; Matriks'!AA24="","",'Data &amp; Matriks'!AA24)</f>
        <v>RENDAH</v>
      </c>
      <c r="F72" s="83"/>
      <c r="G72" s="64"/>
      <c r="H72" s="64"/>
      <c r="I72" s="83"/>
      <c r="J72" s="65">
        <f>'Data &amp; Matriks'!AC24</f>
        <v>1</v>
      </c>
      <c r="K72" s="118" t="str">
        <f>IF(AND(F72="",G72=""),"",IF(E72="TINGGI",3000000,IF(E72="SEDERHANA",2000000,IF(E72="RENDAH",1000000,500000)))+(139-72))</f>
        <v/>
      </c>
    </row>
    <row r="73" ht="24.0" customHeight="1">
      <c r="A73" s="32"/>
      <c r="B73" s="116">
        <v>4.0</v>
      </c>
      <c r="C73" s="83" t="str">
        <f>'Data &amp; Matriks'!B24</f>
        <v>Pengajar (Penolong Pegawai Kesihatan Persekitaran)</v>
      </c>
      <c r="D73" s="64" t="str">
        <f>'Data &amp; Matriks'!C24</f>
        <v>U9</v>
      </c>
      <c r="E73" s="117" t="str">
        <f>IF('Data &amp; Matriks'!AA24="","",'Data &amp; Matriks'!AA24)</f>
        <v>RENDAH</v>
      </c>
      <c r="F73" s="83"/>
      <c r="G73" s="64"/>
      <c r="H73" s="64"/>
      <c r="I73" s="83"/>
      <c r="J73" s="65">
        <f>'Data &amp; Matriks'!AC24</f>
        <v>1</v>
      </c>
      <c r="K73" s="118" t="str">
        <f>IF(AND(F73="",G73=""),"",IF(E73="TINGGI",3000000,IF(E73="SEDERHANA",2000000,IF(E73="RENDAH",1000000,500000)))+(139-73))</f>
        <v/>
      </c>
    </row>
    <row r="74" ht="24.0" customHeight="1">
      <c r="A74" s="40"/>
      <c r="B74" s="116">
        <v>5.0</v>
      </c>
      <c r="C74" s="83" t="str">
        <f>'Data &amp; Matriks'!B24</f>
        <v>Pengajar (Penolong Pegawai Kesihatan Persekitaran)</v>
      </c>
      <c r="D74" s="64" t="str">
        <f>'Data &amp; Matriks'!C24</f>
        <v>U9</v>
      </c>
      <c r="E74" s="117" t="str">
        <f>IF('Data &amp; Matriks'!AA24="","",'Data &amp; Matriks'!AA24)</f>
        <v>RENDAH</v>
      </c>
      <c r="F74" s="83"/>
      <c r="G74" s="64"/>
      <c r="H74" s="64"/>
      <c r="I74" s="83"/>
      <c r="J74" s="65">
        <f>'Data &amp; Matriks'!AC24</f>
        <v>1</v>
      </c>
      <c r="K74" s="118" t="str">
        <f>IF(AND(F74="",G74=""),"",IF(E74="TINGGI",3000000,IF(E74="SEDERHANA",2000000,IF(E74="RENDAH",1000000,500000)))+(139-74))</f>
        <v/>
      </c>
    </row>
    <row r="75" ht="24.0" customHeight="1">
      <c r="A75" s="115">
        <v>15.0</v>
      </c>
      <c r="B75" s="116">
        <v>1.0</v>
      </c>
      <c r="C75" s="83" t="str">
        <f>'Data &amp; Matriks'!B25</f>
        <v>Pengajar (Juruterapi Pergigian)</v>
      </c>
      <c r="D75" s="64" t="str">
        <f>'Data &amp; Matriks'!C25</f>
        <v>U9</v>
      </c>
      <c r="E75" s="117" t="str">
        <f>IF('Data &amp; Matriks'!AA25="","",'Data &amp; Matriks'!AA25)</f>
        <v>RENDAH</v>
      </c>
      <c r="F75" s="83"/>
      <c r="G75" s="64"/>
      <c r="H75" s="64"/>
      <c r="I75" s="83"/>
      <c r="J75" s="65" t="str">
        <f>'Data &amp; Matriks'!AC25</f>
        <v/>
      </c>
      <c r="K75" s="118" t="str">
        <f>IF(AND(F75="",G75=""),"",IF(E75="TINGGI",3000000,IF(E75="SEDERHANA",2000000,IF(E75="RENDAH",1000000,500000)))+(139-75))</f>
        <v/>
      </c>
    </row>
    <row r="76" ht="24.0" customHeight="1">
      <c r="A76" s="32"/>
      <c r="B76" s="116">
        <v>2.0</v>
      </c>
      <c r="C76" s="83" t="str">
        <f>'Data &amp; Matriks'!B25</f>
        <v>Pengajar (Juruterapi Pergigian)</v>
      </c>
      <c r="D76" s="64" t="str">
        <f>'Data &amp; Matriks'!C25</f>
        <v>U9</v>
      </c>
      <c r="E76" s="117" t="str">
        <f>IF('Data &amp; Matriks'!AA25="","",'Data &amp; Matriks'!AA25)</f>
        <v>RENDAH</v>
      </c>
      <c r="F76" s="83"/>
      <c r="G76" s="64"/>
      <c r="H76" s="64"/>
      <c r="I76" s="83"/>
      <c r="J76" s="65" t="str">
        <f>'Data &amp; Matriks'!AC25</f>
        <v/>
      </c>
      <c r="K76" s="118" t="str">
        <f>IF(AND(F76="",G76=""),"",IF(E76="TINGGI",3000000,IF(E76="SEDERHANA",2000000,IF(E76="RENDAH",1000000,500000)))+(139-76))</f>
        <v/>
      </c>
    </row>
    <row r="77" ht="24.0" customHeight="1">
      <c r="A77" s="32"/>
      <c r="B77" s="116">
        <v>3.0</v>
      </c>
      <c r="C77" s="83" t="str">
        <f>'Data &amp; Matriks'!B25</f>
        <v>Pengajar (Juruterapi Pergigian)</v>
      </c>
      <c r="D77" s="64" t="str">
        <f>'Data &amp; Matriks'!C25</f>
        <v>U9</v>
      </c>
      <c r="E77" s="117" t="str">
        <f>IF('Data &amp; Matriks'!AA25="","",'Data &amp; Matriks'!AA25)</f>
        <v>RENDAH</v>
      </c>
      <c r="F77" s="83"/>
      <c r="G77" s="64"/>
      <c r="H77" s="64"/>
      <c r="I77" s="83"/>
      <c r="J77" s="65" t="str">
        <f>'Data &amp; Matriks'!AC25</f>
        <v/>
      </c>
      <c r="K77" s="118" t="str">
        <f>IF(AND(F77="",G77=""),"",IF(E77="TINGGI",3000000,IF(E77="SEDERHANA",2000000,IF(E77="RENDAH",1000000,500000)))+(139-77))</f>
        <v/>
      </c>
    </row>
    <row r="78" ht="24.0" customHeight="1">
      <c r="A78" s="32"/>
      <c r="B78" s="116">
        <v>4.0</v>
      </c>
      <c r="C78" s="83" t="str">
        <f>'Data &amp; Matriks'!B25</f>
        <v>Pengajar (Juruterapi Pergigian)</v>
      </c>
      <c r="D78" s="64" t="str">
        <f>'Data &amp; Matriks'!C25</f>
        <v>U9</v>
      </c>
      <c r="E78" s="117" t="str">
        <f>IF('Data &amp; Matriks'!AA25="","",'Data &amp; Matriks'!AA25)</f>
        <v>RENDAH</v>
      </c>
      <c r="F78" s="83"/>
      <c r="G78" s="64"/>
      <c r="H78" s="64"/>
      <c r="I78" s="83"/>
      <c r="J78" s="65" t="str">
        <f>'Data &amp; Matriks'!AC25</f>
        <v/>
      </c>
      <c r="K78" s="118" t="str">
        <f>IF(AND(F78="",G78=""),"",IF(E78="TINGGI",3000000,IF(E78="SEDERHANA",2000000,IF(E78="RENDAH",1000000,500000)))+(139-78))</f>
        <v/>
      </c>
    </row>
    <row r="79" ht="24.0" customHeight="1">
      <c r="A79" s="40"/>
      <c r="B79" s="116">
        <v>5.0</v>
      </c>
      <c r="C79" s="83" t="str">
        <f>'Data &amp; Matriks'!B25</f>
        <v>Pengajar (Juruterapi Pergigian)</v>
      </c>
      <c r="D79" s="64" t="str">
        <f>'Data &amp; Matriks'!C25</f>
        <v>U9</v>
      </c>
      <c r="E79" s="117" t="str">
        <f>IF('Data &amp; Matriks'!AA25="","",'Data &amp; Matriks'!AA25)</f>
        <v>RENDAH</v>
      </c>
      <c r="F79" s="83"/>
      <c r="G79" s="64"/>
      <c r="H79" s="64"/>
      <c r="I79" s="83"/>
      <c r="J79" s="65" t="str">
        <f>'Data &amp; Matriks'!AC25</f>
        <v/>
      </c>
      <c r="K79" s="118" t="str">
        <f>IF(AND(F79="",G79=""),"",IF(E79="TINGGI",3000000,IF(E79="SEDERHANA",2000000,IF(E79="RENDAH",1000000,500000)))+(139-79))</f>
        <v/>
      </c>
    </row>
    <row r="80" ht="24.0" customHeight="1">
      <c r="A80" s="115">
        <v>16.0</v>
      </c>
      <c r="B80" s="116">
        <v>1.0</v>
      </c>
      <c r="C80" s="83" t="str">
        <f>'Data &amp; Matriks'!B26</f>
        <v>Pengajar  (Juruteknologi Pergigian)</v>
      </c>
      <c r="D80" s="64" t="str">
        <f>'Data &amp; Matriks'!C26</f>
        <v>U9</v>
      </c>
      <c r="E80" s="117" t="str">
        <f>IF('Data &amp; Matriks'!AA26="","",'Data &amp; Matriks'!AA26)</f>
        <v>RENDAH</v>
      </c>
      <c r="F80" s="83"/>
      <c r="G80" s="64" t="s">
        <v>101</v>
      </c>
      <c r="H80" s="64">
        <v>4.0</v>
      </c>
      <c r="I80" s="83"/>
      <c r="J80" s="65">
        <f>'Data &amp; Matriks'!AC26</f>
        <v>1</v>
      </c>
      <c r="K80" s="118">
        <f>IF(AND(F80="",G80=""),"",IF(E80="TINGGI",3000000,IF(E80="SEDERHANA",2000000,IF(E80="RENDAH",1000000,500000)))+(139-80))</f>
        <v>1000059</v>
      </c>
    </row>
    <row r="81" ht="24.0" customHeight="1">
      <c r="A81" s="32"/>
      <c r="B81" s="116">
        <v>2.0</v>
      </c>
      <c r="C81" s="83" t="str">
        <f>'Data &amp; Matriks'!B26</f>
        <v>Pengajar  (Juruteknologi Pergigian)</v>
      </c>
      <c r="D81" s="64" t="str">
        <f>'Data &amp; Matriks'!C26</f>
        <v>U9</v>
      </c>
      <c r="E81" s="117" t="str">
        <f>IF('Data &amp; Matriks'!AA26="","",'Data &amp; Matriks'!AA26)</f>
        <v>RENDAH</v>
      </c>
      <c r="F81" s="83"/>
      <c r="G81" s="64"/>
      <c r="H81" s="64"/>
      <c r="I81" s="83"/>
      <c r="J81" s="65">
        <f>'Data &amp; Matriks'!AC26</f>
        <v>1</v>
      </c>
      <c r="K81" s="118" t="str">
        <f>IF(AND(F81="",G81=""),"",IF(E81="TINGGI",3000000,IF(E81="SEDERHANA",2000000,IF(E81="RENDAH",1000000,500000)))+(139-81))</f>
        <v/>
      </c>
    </row>
    <row r="82" ht="24.0" customHeight="1">
      <c r="A82" s="32"/>
      <c r="B82" s="116">
        <v>3.0</v>
      </c>
      <c r="C82" s="83" t="str">
        <f>'Data &amp; Matriks'!B26</f>
        <v>Pengajar  (Juruteknologi Pergigian)</v>
      </c>
      <c r="D82" s="64" t="str">
        <f>'Data &amp; Matriks'!C26</f>
        <v>U9</v>
      </c>
      <c r="E82" s="117" t="str">
        <f>IF('Data &amp; Matriks'!AA26="","",'Data &amp; Matriks'!AA26)</f>
        <v>RENDAH</v>
      </c>
      <c r="F82" s="83"/>
      <c r="G82" s="64"/>
      <c r="H82" s="64"/>
      <c r="I82" s="83"/>
      <c r="J82" s="65">
        <f>'Data &amp; Matriks'!AC26</f>
        <v>1</v>
      </c>
      <c r="K82" s="118" t="str">
        <f>IF(AND(F82="",G82=""),"",IF(E82="TINGGI",3000000,IF(E82="SEDERHANA",2000000,IF(E82="RENDAH",1000000,500000)))+(139-82))</f>
        <v/>
      </c>
    </row>
    <row r="83" ht="24.0" customHeight="1">
      <c r="A83" s="32"/>
      <c r="B83" s="116">
        <v>4.0</v>
      </c>
      <c r="C83" s="83" t="str">
        <f>'Data &amp; Matriks'!B26</f>
        <v>Pengajar  (Juruteknologi Pergigian)</v>
      </c>
      <c r="D83" s="64" t="str">
        <f>'Data &amp; Matriks'!C26</f>
        <v>U9</v>
      </c>
      <c r="E83" s="117" t="str">
        <f>IF('Data &amp; Matriks'!AA26="","",'Data &amp; Matriks'!AA26)</f>
        <v>RENDAH</v>
      </c>
      <c r="F83" s="83"/>
      <c r="G83" s="64"/>
      <c r="H83" s="64"/>
      <c r="I83" s="83"/>
      <c r="J83" s="65">
        <f>'Data &amp; Matriks'!AC26</f>
        <v>1</v>
      </c>
      <c r="K83" s="118" t="str">
        <f>IF(AND(F83="",G83=""),"",IF(E83="TINGGI",3000000,IF(E83="SEDERHANA",2000000,IF(E83="RENDAH",1000000,500000)))+(139-83))</f>
        <v/>
      </c>
    </row>
    <row r="84" ht="24.0" customHeight="1">
      <c r="A84" s="40"/>
      <c r="B84" s="116">
        <v>5.0</v>
      </c>
      <c r="C84" s="83" t="str">
        <f>'Data &amp; Matriks'!B26</f>
        <v>Pengajar  (Juruteknologi Pergigian)</v>
      </c>
      <c r="D84" s="64" t="str">
        <f>'Data &amp; Matriks'!C26</f>
        <v>U9</v>
      </c>
      <c r="E84" s="117" t="str">
        <f>IF('Data &amp; Matriks'!AA26="","",'Data &amp; Matriks'!AA26)</f>
        <v>RENDAH</v>
      </c>
      <c r="F84" s="83"/>
      <c r="G84" s="64"/>
      <c r="H84" s="64"/>
      <c r="I84" s="83"/>
      <c r="J84" s="65">
        <f>'Data &amp; Matriks'!AC26</f>
        <v>1</v>
      </c>
      <c r="K84" s="118" t="str">
        <f>IF(AND(F84="",G84=""),"",IF(E84="TINGGI",3000000,IF(E84="SEDERHANA",2000000,IF(E84="RENDAH",1000000,500000)))+(139-84))</f>
        <v/>
      </c>
    </row>
    <row r="85" ht="24.0" customHeight="1">
      <c r="A85" s="115">
        <v>17.0</v>
      </c>
      <c r="B85" s="116">
        <v>1.0</v>
      </c>
      <c r="C85" s="83" t="str">
        <f>'Data &amp; Matriks'!B27</f>
        <v>Pengajar  (Penolong Pegawai Farmasi)</v>
      </c>
      <c r="D85" s="64" t="str">
        <f>'Data &amp; Matriks'!C27</f>
        <v>U9</v>
      </c>
      <c r="E85" s="117" t="str">
        <f>IF('Data &amp; Matriks'!AA27="","",'Data &amp; Matriks'!AA27)</f>
        <v>RENDAH</v>
      </c>
      <c r="F85" s="83"/>
      <c r="G85" s="64" t="s">
        <v>101</v>
      </c>
      <c r="H85" s="89">
        <v>2.0</v>
      </c>
      <c r="I85" s="83"/>
      <c r="J85" s="65">
        <f>'Data &amp; Matriks'!AC27</f>
        <v>1</v>
      </c>
      <c r="K85" s="118">
        <f>IF(AND(F85="",G85=""),"",IF(E85="TINGGI",3000000,IF(E85="SEDERHANA",2000000,IF(E85="RENDAH",1000000,500000)))+(139-85))</f>
        <v>1000054</v>
      </c>
    </row>
    <row r="86" ht="24.0" customHeight="1">
      <c r="A86" s="32"/>
      <c r="B86" s="116">
        <v>2.0</v>
      </c>
      <c r="C86" s="83" t="str">
        <f>'Data &amp; Matriks'!B27</f>
        <v>Pengajar  (Penolong Pegawai Farmasi)</v>
      </c>
      <c r="D86" s="64" t="str">
        <f>'Data &amp; Matriks'!C27</f>
        <v>U9</v>
      </c>
      <c r="E86" s="117" t="str">
        <f>IF('Data &amp; Matriks'!AA27="","",'Data &amp; Matriks'!AA27)</f>
        <v>RENDAH</v>
      </c>
      <c r="F86" s="83"/>
      <c r="G86" s="64"/>
      <c r="H86" s="64"/>
      <c r="I86" s="83"/>
      <c r="J86" s="65">
        <f>'Data &amp; Matriks'!AC27</f>
        <v>1</v>
      </c>
      <c r="K86" s="118" t="str">
        <f>IF(AND(F86="",G86=""),"",IF(E86="TINGGI",3000000,IF(E86="SEDERHANA",2000000,IF(E86="RENDAH",1000000,500000)))+(139-86))</f>
        <v/>
      </c>
    </row>
    <row r="87" ht="24.0" customHeight="1">
      <c r="A87" s="32"/>
      <c r="B87" s="116">
        <v>3.0</v>
      </c>
      <c r="C87" s="83" t="str">
        <f>'Data &amp; Matriks'!B27</f>
        <v>Pengajar  (Penolong Pegawai Farmasi)</v>
      </c>
      <c r="D87" s="64" t="str">
        <f>'Data &amp; Matriks'!C27</f>
        <v>U9</v>
      </c>
      <c r="E87" s="117" t="str">
        <f>IF('Data &amp; Matriks'!AA27="","",'Data &amp; Matriks'!AA27)</f>
        <v>RENDAH</v>
      </c>
      <c r="F87" s="83"/>
      <c r="G87" s="64"/>
      <c r="H87" s="64"/>
      <c r="I87" s="83"/>
      <c r="J87" s="65">
        <f>'Data &amp; Matriks'!AC27</f>
        <v>1</v>
      </c>
      <c r="K87" s="118" t="str">
        <f>IF(AND(F87="",G87=""),"",IF(E87="TINGGI",3000000,IF(E87="SEDERHANA",2000000,IF(E87="RENDAH",1000000,500000)))+(139-87))</f>
        <v/>
      </c>
    </row>
    <row r="88" ht="24.0" customHeight="1">
      <c r="A88" s="32"/>
      <c r="B88" s="116">
        <v>4.0</v>
      </c>
      <c r="C88" s="83" t="str">
        <f>'Data &amp; Matriks'!B27</f>
        <v>Pengajar  (Penolong Pegawai Farmasi)</v>
      </c>
      <c r="D88" s="64" t="str">
        <f>'Data &amp; Matriks'!C27</f>
        <v>U9</v>
      </c>
      <c r="E88" s="117" t="str">
        <f>IF('Data &amp; Matriks'!AA27="","",'Data &amp; Matriks'!AA27)</f>
        <v>RENDAH</v>
      </c>
      <c r="F88" s="83"/>
      <c r="G88" s="64"/>
      <c r="H88" s="64"/>
      <c r="I88" s="83"/>
      <c r="J88" s="65">
        <f>'Data &amp; Matriks'!AC27</f>
        <v>1</v>
      </c>
      <c r="K88" s="118" t="str">
        <f>IF(AND(F88="",G88=""),"",IF(E88="TINGGI",3000000,IF(E88="SEDERHANA",2000000,IF(E88="RENDAH",1000000,500000)))+(139-88))</f>
        <v/>
      </c>
    </row>
    <row r="89" ht="24.0" customHeight="1">
      <c r="A89" s="40"/>
      <c r="B89" s="116">
        <v>5.0</v>
      </c>
      <c r="C89" s="83" t="str">
        <f>'Data &amp; Matriks'!B27</f>
        <v>Pengajar  (Penolong Pegawai Farmasi)</v>
      </c>
      <c r="D89" s="64" t="str">
        <f>'Data &amp; Matriks'!C27</f>
        <v>U9</v>
      </c>
      <c r="E89" s="117" t="str">
        <f>IF('Data &amp; Matriks'!AA27="","",'Data &amp; Matriks'!AA27)</f>
        <v>RENDAH</v>
      </c>
      <c r="F89" s="83"/>
      <c r="G89" s="64"/>
      <c r="H89" s="64"/>
      <c r="I89" s="83"/>
      <c r="J89" s="65">
        <f>'Data &amp; Matriks'!AC27</f>
        <v>1</v>
      </c>
      <c r="K89" s="118" t="str">
        <f>IF(AND(F89="",G89=""),"",IF(E89="TINGGI",3000000,IF(E89="SEDERHANA",2000000,IF(E89="RENDAH",1000000,500000)))+(139-89))</f>
        <v/>
      </c>
    </row>
    <row r="90" ht="24.0" customHeight="1">
      <c r="A90" s="115">
        <v>18.0</v>
      </c>
      <c r="B90" s="116">
        <v>1.0</v>
      </c>
      <c r="C90" s="83" t="str">
        <f>'Data &amp; Matriks'!B28</f>
        <v>Pengajar (Jurupulih Perubatan Carakerja)</v>
      </c>
      <c r="D90" s="64" t="str">
        <f>'Data &amp; Matriks'!C28</f>
        <v>U9</v>
      </c>
      <c r="E90" s="117" t="str">
        <f>IF('Data &amp; Matriks'!AA28="","",'Data &amp; Matriks'!AA28)</f>
        <v>RENDAH</v>
      </c>
      <c r="F90" s="83"/>
      <c r="G90" s="64" t="s">
        <v>101</v>
      </c>
      <c r="H90" s="64">
        <v>2.0</v>
      </c>
      <c r="I90" s="83"/>
      <c r="J90" s="65">
        <f>'Data &amp; Matriks'!AC28</f>
        <v>1</v>
      </c>
      <c r="K90" s="118">
        <f>IF(AND(F90="",G90=""),"",IF(E90="TINGGI",3000000,IF(E90="SEDERHANA",2000000,IF(E90="RENDAH",1000000,500000)))+(139-90))</f>
        <v>1000049</v>
      </c>
    </row>
    <row r="91" ht="24.0" customHeight="1">
      <c r="A91" s="32"/>
      <c r="B91" s="116">
        <v>2.0</v>
      </c>
      <c r="C91" s="83" t="str">
        <f>'Data &amp; Matriks'!B28</f>
        <v>Pengajar (Jurupulih Perubatan Carakerja)</v>
      </c>
      <c r="D91" s="64" t="str">
        <f>'Data &amp; Matriks'!C28</f>
        <v>U9</v>
      </c>
      <c r="E91" s="117" t="str">
        <f>IF('Data &amp; Matriks'!AA28="","",'Data &amp; Matriks'!AA28)</f>
        <v>RENDAH</v>
      </c>
      <c r="F91" s="83"/>
      <c r="G91" s="64"/>
      <c r="H91" s="64"/>
      <c r="I91" s="83"/>
      <c r="J91" s="65">
        <f>'Data &amp; Matriks'!AC28</f>
        <v>1</v>
      </c>
      <c r="K91" s="118" t="str">
        <f>IF(AND(F91="",G91=""),"",IF(E91="TINGGI",3000000,IF(E91="SEDERHANA",2000000,IF(E91="RENDAH",1000000,500000)))+(139-91))</f>
        <v/>
      </c>
    </row>
    <row r="92" ht="24.0" customHeight="1">
      <c r="A92" s="32"/>
      <c r="B92" s="116">
        <v>3.0</v>
      </c>
      <c r="C92" s="83" t="str">
        <f>'Data &amp; Matriks'!B28</f>
        <v>Pengajar (Jurupulih Perubatan Carakerja)</v>
      </c>
      <c r="D92" s="64" t="str">
        <f>'Data &amp; Matriks'!C28</f>
        <v>U9</v>
      </c>
      <c r="E92" s="117" t="str">
        <f>IF('Data &amp; Matriks'!AA28="","",'Data &amp; Matriks'!AA28)</f>
        <v>RENDAH</v>
      </c>
      <c r="F92" s="83"/>
      <c r="G92" s="64"/>
      <c r="H92" s="64"/>
      <c r="I92" s="83"/>
      <c r="J92" s="65">
        <f>'Data &amp; Matriks'!AC28</f>
        <v>1</v>
      </c>
      <c r="K92" s="118" t="str">
        <f>IF(AND(F92="",G92=""),"",IF(E92="TINGGI",3000000,IF(E92="SEDERHANA",2000000,IF(E92="RENDAH",1000000,500000)))+(139-92))</f>
        <v/>
      </c>
    </row>
    <row r="93" ht="24.0" customHeight="1">
      <c r="A93" s="32"/>
      <c r="B93" s="116">
        <v>4.0</v>
      </c>
      <c r="C93" s="83" t="str">
        <f>'Data &amp; Matriks'!B28</f>
        <v>Pengajar (Jurupulih Perubatan Carakerja)</v>
      </c>
      <c r="D93" s="64" t="str">
        <f>'Data &amp; Matriks'!C28</f>
        <v>U9</v>
      </c>
      <c r="E93" s="117" t="str">
        <f>IF('Data &amp; Matriks'!AA28="","",'Data &amp; Matriks'!AA28)</f>
        <v>RENDAH</v>
      </c>
      <c r="F93" s="83"/>
      <c r="G93" s="64"/>
      <c r="H93" s="64"/>
      <c r="I93" s="83"/>
      <c r="J93" s="65">
        <f>'Data &amp; Matriks'!AC28</f>
        <v>1</v>
      </c>
      <c r="K93" s="118" t="str">
        <f>IF(AND(F93="",G93=""),"",IF(E93="TINGGI",3000000,IF(E93="SEDERHANA",2000000,IF(E93="RENDAH",1000000,500000)))+(139-93))</f>
        <v/>
      </c>
    </row>
    <row r="94" ht="24.0" customHeight="1">
      <c r="A94" s="40"/>
      <c r="B94" s="116">
        <v>5.0</v>
      </c>
      <c r="C94" s="83" t="str">
        <f>'Data &amp; Matriks'!B28</f>
        <v>Pengajar (Jurupulih Perubatan Carakerja)</v>
      </c>
      <c r="D94" s="64" t="str">
        <f>'Data &amp; Matriks'!C28</f>
        <v>U9</v>
      </c>
      <c r="E94" s="117" t="str">
        <f>IF('Data &amp; Matriks'!AA28="","",'Data &amp; Matriks'!AA28)</f>
        <v>RENDAH</v>
      </c>
      <c r="F94" s="83"/>
      <c r="G94" s="64"/>
      <c r="H94" s="64"/>
      <c r="I94" s="83"/>
      <c r="J94" s="65">
        <f>'Data &amp; Matriks'!AC28</f>
        <v>1</v>
      </c>
      <c r="K94" s="118" t="str">
        <f>IF(AND(F94="",G94=""),"",IF(E94="TINGGI",3000000,IF(E94="SEDERHANA",2000000,IF(E94="RENDAH",1000000,500000)))+(139-94))</f>
        <v/>
      </c>
    </row>
    <row r="95" ht="24.0" customHeight="1">
      <c r="A95" s="115">
        <v>19.0</v>
      </c>
      <c r="B95" s="116">
        <v>1.0</v>
      </c>
      <c r="C95" s="83" t="str">
        <f>'Data &amp; Matriks'!B29</f>
        <v>Pengajar (Jurupulih Perubatan Angota)</v>
      </c>
      <c r="D95" s="64" t="str">
        <f>'Data &amp; Matriks'!C29</f>
        <v>U9</v>
      </c>
      <c r="E95" s="117" t="str">
        <f>IF('Data &amp; Matriks'!AA29="","",'Data &amp; Matriks'!AA29)</f>
        <v>RENDAH</v>
      </c>
      <c r="F95" s="83"/>
      <c r="G95" s="64"/>
      <c r="H95" s="64"/>
      <c r="I95" s="83"/>
      <c r="J95" s="65" t="str">
        <f>'Data &amp; Matriks'!AC29</f>
        <v/>
      </c>
      <c r="K95" s="118" t="str">
        <f>IF(AND(F95="",G95=""),"",IF(E95="TINGGI",3000000,IF(E95="SEDERHANA",2000000,IF(E95="RENDAH",1000000,500000)))+(139-95))</f>
        <v/>
      </c>
    </row>
    <row r="96" ht="24.0" customHeight="1">
      <c r="A96" s="32"/>
      <c r="B96" s="116">
        <v>2.0</v>
      </c>
      <c r="C96" s="83" t="str">
        <f>'Data &amp; Matriks'!B29</f>
        <v>Pengajar (Jurupulih Perubatan Angota)</v>
      </c>
      <c r="D96" s="64" t="str">
        <f>'Data &amp; Matriks'!C29</f>
        <v>U9</v>
      </c>
      <c r="E96" s="117" t="str">
        <f>IF('Data &amp; Matriks'!AA29="","",'Data &amp; Matriks'!AA29)</f>
        <v>RENDAH</v>
      </c>
      <c r="F96" s="83"/>
      <c r="G96" s="64"/>
      <c r="H96" s="64"/>
      <c r="I96" s="83"/>
      <c r="J96" s="65" t="str">
        <f>'Data &amp; Matriks'!AC29</f>
        <v/>
      </c>
      <c r="K96" s="118" t="str">
        <f>IF(AND(F96="",G96=""),"",IF(E96="TINGGI",3000000,IF(E96="SEDERHANA",2000000,IF(E96="RENDAH",1000000,500000)))+(139-96))</f>
        <v/>
      </c>
    </row>
    <row r="97" ht="24.0" customHeight="1">
      <c r="A97" s="32"/>
      <c r="B97" s="116">
        <v>3.0</v>
      </c>
      <c r="C97" s="83" t="str">
        <f>'Data &amp; Matriks'!B29</f>
        <v>Pengajar (Jurupulih Perubatan Angota)</v>
      </c>
      <c r="D97" s="64" t="str">
        <f>'Data &amp; Matriks'!C29</f>
        <v>U9</v>
      </c>
      <c r="E97" s="117" t="str">
        <f>IF('Data &amp; Matriks'!AA29="","",'Data &amp; Matriks'!AA29)</f>
        <v>RENDAH</v>
      </c>
      <c r="F97" s="83"/>
      <c r="G97" s="64"/>
      <c r="H97" s="64"/>
      <c r="I97" s="83"/>
      <c r="J97" s="65" t="str">
        <f>'Data &amp; Matriks'!AC29</f>
        <v/>
      </c>
      <c r="K97" s="118" t="str">
        <f>IF(AND(F97="",G97=""),"",IF(E97="TINGGI",3000000,IF(E97="SEDERHANA",2000000,IF(E97="RENDAH",1000000,500000)))+(139-97))</f>
        <v/>
      </c>
    </row>
    <row r="98" ht="24.0" customHeight="1">
      <c r="A98" s="32"/>
      <c r="B98" s="116">
        <v>4.0</v>
      </c>
      <c r="C98" s="83" t="str">
        <f>'Data &amp; Matriks'!B29</f>
        <v>Pengajar (Jurupulih Perubatan Angota)</v>
      </c>
      <c r="D98" s="64" t="str">
        <f>'Data &amp; Matriks'!C29</f>
        <v>U9</v>
      </c>
      <c r="E98" s="117" t="str">
        <f>IF('Data &amp; Matriks'!AA29="","",'Data &amp; Matriks'!AA29)</f>
        <v>RENDAH</v>
      </c>
      <c r="F98" s="83"/>
      <c r="G98" s="64"/>
      <c r="H98" s="64"/>
      <c r="I98" s="83"/>
      <c r="J98" s="65" t="str">
        <f>'Data &amp; Matriks'!AC29</f>
        <v/>
      </c>
      <c r="K98" s="118" t="str">
        <f>IF(AND(F98="",G98=""),"",IF(E98="TINGGI",3000000,IF(E98="SEDERHANA",2000000,IF(E98="RENDAH",1000000,500000)))+(139-98))</f>
        <v/>
      </c>
    </row>
    <row r="99" ht="24.0" customHeight="1">
      <c r="A99" s="40"/>
      <c r="B99" s="116">
        <v>5.0</v>
      </c>
      <c r="C99" s="83" t="str">
        <f>'Data &amp; Matriks'!B29</f>
        <v>Pengajar (Jurupulih Perubatan Angota)</v>
      </c>
      <c r="D99" s="64" t="str">
        <f>'Data &amp; Matriks'!C29</f>
        <v>U9</v>
      </c>
      <c r="E99" s="117" t="str">
        <f>IF('Data &amp; Matriks'!AA29="","",'Data &amp; Matriks'!AA29)</f>
        <v>RENDAH</v>
      </c>
      <c r="F99" s="83"/>
      <c r="G99" s="64"/>
      <c r="H99" s="64"/>
      <c r="I99" s="83"/>
      <c r="J99" s="65" t="str">
        <f>'Data &amp; Matriks'!AC29</f>
        <v/>
      </c>
      <c r="K99" s="118" t="str">
        <f>IF(AND(F99="",G99=""),"",IF(E99="TINGGI",3000000,IF(E99="SEDERHANA",2000000,IF(E99="RENDAH",1000000,500000)))+(139-99))</f>
        <v/>
      </c>
    </row>
    <row r="100" ht="24.0" customHeight="1">
      <c r="A100" s="115">
        <v>20.0</v>
      </c>
      <c r="B100" s="116">
        <v>1.0</v>
      </c>
      <c r="C100" s="83" t="str">
        <f>'Data &amp; Matriks'!B30</f>
        <v>Pengajar (Radiografi &amp; Radioterapi - Juru X-Ray)</v>
      </c>
      <c r="D100" s="64" t="str">
        <f>'Data &amp; Matriks'!C30</f>
        <v>U9</v>
      </c>
      <c r="E100" s="117" t="str">
        <f>IF('Data &amp; Matriks'!AA30="","",'Data &amp; Matriks'!AA30)</f>
        <v>RENDAH</v>
      </c>
      <c r="F100" s="83"/>
      <c r="G100" s="64" t="s">
        <v>101</v>
      </c>
      <c r="H100" s="89">
        <v>3.0</v>
      </c>
      <c r="I100" s="83"/>
      <c r="J100" s="65">
        <f>'Data &amp; Matriks'!AC30</f>
        <v>1</v>
      </c>
      <c r="K100" s="118">
        <f>IF(AND(F100="",G100=""),"",IF(E100="TINGGI",3000000,IF(E100="SEDERHANA",2000000,IF(E100="RENDAH",1000000,500000)))+(139-100))</f>
        <v>1000039</v>
      </c>
    </row>
    <row r="101" ht="24.0" customHeight="1">
      <c r="A101" s="32"/>
      <c r="B101" s="116">
        <v>2.0</v>
      </c>
      <c r="C101" s="83" t="str">
        <f>'Data &amp; Matriks'!B30</f>
        <v>Pengajar (Radiografi &amp; Radioterapi - Juru X-Ray)</v>
      </c>
      <c r="D101" s="64" t="str">
        <f>'Data &amp; Matriks'!C30</f>
        <v>U9</v>
      </c>
      <c r="E101" s="117" t="str">
        <f>IF('Data &amp; Matriks'!AA30="","",'Data &amp; Matriks'!AA30)</f>
        <v>RENDAH</v>
      </c>
      <c r="F101" s="83"/>
      <c r="G101" s="64"/>
      <c r="H101" s="64"/>
      <c r="I101" s="83"/>
      <c r="J101" s="65">
        <f>'Data &amp; Matriks'!AC30</f>
        <v>1</v>
      </c>
      <c r="K101" s="118" t="str">
        <f>IF(AND(F101="",G101=""),"",IF(E101="TINGGI",3000000,IF(E101="SEDERHANA",2000000,IF(E101="RENDAH",1000000,500000)))+(139-101))</f>
        <v/>
      </c>
    </row>
    <row r="102" ht="24.0" customHeight="1">
      <c r="A102" s="32"/>
      <c r="B102" s="116">
        <v>3.0</v>
      </c>
      <c r="C102" s="83" t="str">
        <f>'Data &amp; Matriks'!B30</f>
        <v>Pengajar (Radiografi &amp; Radioterapi - Juru X-Ray)</v>
      </c>
      <c r="D102" s="64" t="str">
        <f>'Data &amp; Matriks'!C30</f>
        <v>U9</v>
      </c>
      <c r="E102" s="117" t="str">
        <f>IF('Data &amp; Matriks'!AA30="","",'Data &amp; Matriks'!AA30)</f>
        <v>RENDAH</v>
      </c>
      <c r="F102" s="83"/>
      <c r="G102" s="64"/>
      <c r="H102" s="64"/>
      <c r="I102" s="83"/>
      <c r="J102" s="65">
        <f>'Data &amp; Matriks'!AC30</f>
        <v>1</v>
      </c>
      <c r="K102" s="118" t="str">
        <f>IF(AND(F102="",G102=""),"",IF(E102="TINGGI",3000000,IF(E102="SEDERHANA",2000000,IF(E102="RENDAH",1000000,500000)))+(139-102))</f>
        <v/>
      </c>
    </row>
    <row r="103" ht="24.0" customHeight="1">
      <c r="A103" s="32"/>
      <c r="B103" s="116">
        <v>4.0</v>
      </c>
      <c r="C103" s="83" t="str">
        <f>'Data &amp; Matriks'!B30</f>
        <v>Pengajar (Radiografi &amp; Radioterapi - Juru X-Ray)</v>
      </c>
      <c r="D103" s="64" t="str">
        <f>'Data &amp; Matriks'!C30</f>
        <v>U9</v>
      </c>
      <c r="E103" s="117" t="str">
        <f>IF('Data &amp; Matriks'!AA30="","",'Data &amp; Matriks'!AA30)</f>
        <v>RENDAH</v>
      </c>
      <c r="F103" s="83"/>
      <c r="G103" s="64"/>
      <c r="H103" s="64"/>
      <c r="I103" s="83"/>
      <c r="J103" s="65">
        <f>'Data &amp; Matriks'!AC30</f>
        <v>1</v>
      </c>
      <c r="K103" s="118" t="str">
        <f>IF(AND(F103="",G103=""),"",IF(E103="TINGGI",3000000,IF(E103="SEDERHANA",2000000,IF(E103="RENDAH",1000000,500000)))+(139-103))</f>
        <v/>
      </c>
    </row>
    <row r="104" ht="24.0" customHeight="1">
      <c r="A104" s="40"/>
      <c r="B104" s="116">
        <v>5.0</v>
      </c>
      <c r="C104" s="83" t="str">
        <f>'Data &amp; Matriks'!B30</f>
        <v>Pengajar (Radiografi &amp; Radioterapi - Juru X-Ray)</v>
      </c>
      <c r="D104" s="64" t="str">
        <f>'Data &amp; Matriks'!C30</f>
        <v>U9</v>
      </c>
      <c r="E104" s="117" t="str">
        <f>IF('Data &amp; Matriks'!AA30="","",'Data &amp; Matriks'!AA30)</f>
        <v>RENDAH</v>
      </c>
      <c r="F104" s="83"/>
      <c r="G104" s="64"/>
      <c r="H104" s="64"/>
      <c r="I104" s="83"/>
      <c r="J104" s="65">
        <f>'Data &amp; Matriks'!AC30</f>
        <v>1</v>
      </c>
      <c r="K104" s="118" t="str">
        <f>IF(AND(F104="",G104=""),"",IF(E104="TINGGI",3000000,IF(E104="SEDERHANA",2000000,IF(E104="RENDAH",1000000,500000)))+(139-104))</f>
        <v/>
      </c>
    </row>
    <row r="105" ht="24.0" customHeight="1">
      <c r="A105" s="115">
        <v>21.0</v>
      </c>
      <c r="B105" s="116">
        <v>1.0</v>
      </c>
      <c r="C105" s="83" t="str">
        <f>'Data &amp; Matriks'!B31</f>
        <v>Pengajar (Juruteknologi Makmal Perubatan)</v>
      </c>
      <c r="D105" s="64" t="str">
        <f>'Data &amp; Matriks'!C31</f>
        <v>U9</v>
      </c>
      <c r="E105" s="117" t="str">
        <f>IF('Data &amp; Matriks'!AA31="","",'Data &amp; Matriks'!AA31)</f>
        <v>RENDAH</v>
      </c>
      <c r="F105" s="83"/>
      <c r="G105" s="64"/>
      <c r="H105" s="64"/>
      <c r="I105" s="83"/>
      <c r="J105" s="65" t="str">
        <f>'Data &amp; Matriks'!AC31</f>
        <v/>
      </c>
      <c r="K105" s="118" t="str">
        <f>IF(AND(F105="",G105=""),"",IF(E105="TINGGI",3000000,IF(E105="SEDERHANA",2000000,IF(E105="RENDAH",1000000,500000)))+(139-105))</f>
        <v/>
      </c>
    </row>
    <row r="106" ht="24.0" customHeight="1">
      <c r="A106" s="32"/>
      <c r="B106" s="116">
        <v>2.0</v>
      </c>
      <c r="C106" s="83" t="str">
        <f>'Data &amp; Matriks'!B31</f>
        <v>Pengajar (Juruteknologi Makmal Perubatan)</v>
      </c>
      <c r="D106" s="64" t="str">
        <f>'Data &amp; Matriks'!C31</f>
        <v>U9</v>
      </c>
      <c r="E106" s="117" t="str">
        <f>IF('Data &amp; Matriks'!AA31="","",'Data &amp; Matriks'!AA31)</f>
        <v>RENDAH</v>
      </c>
      <c r="F106" s="83"/>
      <c r="G106" s="64"/>
      <c r="H106" s="64"/>
      <c r="I106" s="83"/>
      <c r="J106" s="65" t="str">
        <f>'Data &amp; Matriks'!AC31</f>
        <v/>
      </c>
      <c r="K106" s="118" t="str">
        <f>IF(AND(F106="",G106=""),"",IF(E106="TINGGI",3000000,IF(E106="SEDERHANA",2000000,IF(E106="RENDAH",1000000,500000)))+(139-106))</f>
        <v/>
      </c>
    </row>
    <row r="107" ht="24.0" customHeight="1">
      <c r="A107" s="32"/>
      <c r="B107" s="116">
        <v>3.0</v>
      </c>
      <c r="C107" s="83" t="str">
        <f>'Data &amp; Matriks'!B31</f>
        <v>Pengajar (Juruteknologi Makmal Perubatan)</v>
      </c>
      <c r="D107" s="64" t="str">
        <f>'Data &amp; Matriks'!C31</f>
        <v>U9</v>
      </c>
      <c r="E107" s="117" t="str">
        <f>IF('Data &amp; Matriks'!AA31="","",'Data &amp; Matriks'!AA31)</f>
        <v>RENDAH</v>
      </c>
      <c r="F107" s="83"/>
      <c r="G107" s="64"/>
      <c r="H107" s="64"/>
      <c r="I107" s="83"/>
      <c r="J107" s="65" t="str">
        <f>'Data &amp; Matriks'!AC31</f>
        <v/>
      </c>
      <c r="K107" s="118" t="str">
        <f>IF(AND(F107="",G107=""),"",IF(E107="TINGGI",3000000,IF(E107="SEDERHANA",2000000,IF(E107="RENDAH",1000000,500000)))+(139-107))</f>
        <v/>
      </c>
    </row>
    <row r="108" ht="24.0" customHeight="1">
      <c r="A108" s="32"/>
      <c r="B108" s="116">
        <v>4.0</v>
      </c>
      <c r="C108" s="83" t="str">
        <f>'Data &amp; Matriks'!B31</f>
        <v>Pengajar (Juruteknologi Makmal Perubatan)</v>
      </c>
      <c r="D108" s="64" t="str">
        <f>'Data &amp; Matriks'!C31</f>
        <v>U9</v>
      </c>
      <c r="E108" s="117" t="str">
        <f>IF('Data &amp; Matriks'!AA31="","",'Data &amp; Matriks'!AA31)</f>
        <v>RENDAH</v>
      </c>
      <c r="F108" s="83"/>
      <c r="G108" s="64"/>
      <c r="H108" s="64"/>
      <c r="I108" s="83"/>
      <c r="J108" s="65" t="str">
        <f>'Data &amp; Matriks'!AC31</f>
        <v/>
      </c>
      <c r="K108" s="118" t="str">
        <f>IF(AND(F108="",G108=""),"",IF(E108="TINGGI",3000000,IF(E108="SEDERHANA",2000000,IF(E108="RENDAH",1000000,500000)))+(139-108))</f>
        <v/>
      </c>
    </row>
    <row r="109" ht="24.0" customHeight="1">
      <c r="A109" s="40"/>
      <c r="B109" s="116">
        <v>5.0</v>
      </c>
      <c r="C109" s="83" t="str">
        <f>'Data &amp; Matriks'!B31</f>
        <v>Pengajar (Juruteknologi Makmal Perubatan)</v>
      </c>
      <c r="D109" s="64" t="str">
        <f>'Data &amp; Matriks'!C31</f>
        <v>U9</v>
      </c>
      <c r="E109" s="117" t="str">
        <f>IF('Data &amp; Matriks'!AA31="","",'Data &amp; Matriks'!AA31)</f>
        <v>RENDAH</v>
      </c>
      <c r="F109" s="83"/>
      <c r="G109" s="64"/>
      <c r="H109" s="64"/>
      <c r="I109" s="83"/>
      <c r="J109" s="65" t="str">
        <f>'Data &amp; Matriks'!AC31</f>
        <v/>
      </c>
      <c r="K109" s="118" t="str">
        <f>IF(AND(F109="",G109=""),"",IF(E109="TINGGI",3000000,IF(E109="SEDERHANA",2000000,IF(E109="RENDAH",1000000,500000)))+(139-109))</f>
        <v/>
      </c>
    </row>
    <row r="110" ht="24.0" customHeight="1">
      <c r="A110" s="115">
        <v>22.0</v>
      </c>
      <c r="B110" s="116">
        <v>1.0</v>
      </c>
      <c r="C110" s="83" t="str">
        <f>'Data &amp; Matriks'!B32</f>
        <v>Jururawat </v>
      </c>
      <c r="D110" s="64" t="str">
        <f>'Data &amp; Matriks'!C32</f>
        <v>U9</v>
      </c>
      <c r="E110" s="117" t="str">
        <f>IF('Data &amp; Matriks'!AA32="","",'Data &amp; Matriks'!AA32)</f>
        <v>SEDERHANA</v>
      </c>
      <c r="F110" s="83" t="s">
        <v>107</v>
      </c>
      <c r="G110" s="96" t="s">
        <v>103</v>
      </c>
      <c r="H110" s="64">
        <v>59.0</v>
      </c>
      <c r="I110" s="83"/>
      <c r="J110" s="65">
        <f>'Data &amp; Matriks'!AC32</f>
        <v>1</v>
      </c>
      <c r="K110" s="118">
        <f>IF(AND(F110="",G110=""),"",IF(E110="TINGGI",3000000,IF(E110="SEDERHANA",2000000,IF(E110="RENDAH",1000000,500000)))+(139-110))</f>
        <v>2000029</v>
      </c>
    </row>
    <row r="111" ht="24.0" customHeight="1">
      <c r="A111" s="32"/>
      <c r="B111" s="116">
        <v>2.0</v>
      </c>
      <c r="C111" s="83" t="str">
        <f>'Data &amp; Matriks'!B32</f>
        <v>Jururawat </v>
      </c>
      <c r="D111" s="64" t="str">
        <f>'Data &amp; Matriks'!C32</f>
        <v>U9</v>
      </c>
      <c r="E111" s="117" t="str">
        <f>IF('Data &amp; Matriks'!AA32="","",'Data &amp; Matriks'!AA32)</f>
        <v>SEDERHANA</v>
      </c>
      <c r="F111" s="83"/>
      <c r="G111" s="64"/>
      <c r="H111" s="64"/>
      <c r="I111" s="83"/>
      <c r="J111" s="65">
        <f>'Data &amp; Matriks'!AC32</f>
        <v>1</v>
      </c>
      <c r="K111" s="118" t="str">
        <f>IF(AND(F111="",G111=""),"",IF(E111="TINGGI",3000000,IF(E111="SEDERHANA",2000000,IF(E111="RENDAH",1000000,500000)))+(139-111))</f>
        <v/>
      </c>
    </row>
    <row r="112" ht="24.0" customHeight="1">
      <c r="A112" s="32"/>
      <c r="B112" s="116">
        <v>3.0</v>
      </c>
      <c r="C112" s="83" t="str">
        <f>'Data &amp; Matriks'!B32</f>
        <v>Jururawat </v>
      </c>
      <c r="D112" s="64" t="str">
        <f>'Data &amp; Matriks'!C32</f>
        <v>U9</v>
      </c>
      <c r="E112" s="117" t="str">
        <f>IF('Data &amp; Matriks'!AA32="","",'Data &amp; Matriks'!AA32)</f>
        <v>SEDERHANA</v>
      </c>
      <c r="F112" s="83"/>
      <c r="G112" s="64"/>
      <c r="H112" s="64"/>
      <c r="I112" s="83"/>
      <c r="J112" s="65">
        <f>'Data &amp; Matriks'!AC32</f>
        <v>1</v>
      </c>
      <c r="K112" s="118" t="str">
        <f>IF(AND(F112="",G112=""),"",IF(E112="TINGGI",3000000,IF(E112="SEDERHANA",2000000,IF(E112="RENDAH",1000000,500000)))+(139-112))</f>
        <v/>
      </c>
    </row>
    <row r="113" ht="24.0" customHeight="1">
      <c r="A113" s="32"/>
      <c r="B113" s="116">
        <v>4.0</v>
      </c>
      <c r="C113" s="83" t="str">
        <f>'Data &amp; Matriks'!B32</f>
        <v>Jururawat </v>
      </c>
      <c r="D113" s="64" t="str">
        <f>'Data &amp; Matriks'!C32</f>
        <v>U9</v>
      </c>
      <c r="E113" s="117" t="str">
        <f>IF('Data &amp; Matriks'!AA32="","",'Data &amp; Matriks'!AA32)</f>
        <v>SEDERHANA</v>
      </c>
      <c r="F113" s="83"/>
      <c r="G113" s="64"/>
      <c r="H113" s="64"/>
      <c r="I113" s="83"/>
      <c r="J113" s="65">
        <f>'Data &amp; Matriks'!AC32</f>
        <v>1</v>
      </c>
      <c r="K113" s="118" t="str">
        <f>IF(AND(F113="",G113=""),"",IF(E113="TINGGI",3000000,IF(E113="SEDERHANA",2000000,IF(E113="RENDAH",1000000,500000)))+(139-113))</f>
        <v/>
      </c>
    </row>
    <row r="114" ht="24.0" customHeight="1">
      <c r="A114" s="40"/>
      <c r="B114" s="116">
        <v>5.0</v>
      </c>
      <c r="C114" s="83" t="str">
        <f>'Data &amp; Matriks'!B32</f>
        <v>Jururawat </v>
      </c>
      <c r="D114" s="64" t="str">
        <f>'Data &amp; Matriks'!C32</f>
        <v>U9</v>
      </c>
      <c r="E114" s="117" t="str">
        <f>IF('Data &amp; Matriks'!AA32="","",'Data &amp; Matriks'!AA32)</f>
        <v>SEDERHANA</v>
      </c>
      <c r="F114" s="83"/>
      <c r="G114" s="64"/>
      <c r="H114" s="64"/>
      <c r="I114" s="83"/>
      <c r="J114" s="65">
        <f>'Data &amp; Matriks'!AC32</f>
        <v>1</v>
      </c>
      <c r="K114" s="118" t="str">
        <f>IF(AND(F114="",G114=""),"",IF(E114="TINGGI",3000000,IF(E114="SEDERHANA",2000000,IF(E114="RENDAH",1000000,500000)))+(139-114))</f>
        <v/>
      </c>
    </row>
    <row r="115" ht="24.0" customHeight="1">
      <c r="A115" s="115">
        <v>23.0</v>
      </c>
      <c r="B115" s="119">
        <v>1.0</v>
      </c>
      <c r="C115" s="120" t="str">
        <f>'Data &amp; Matriks'!B33</f>
        <v>Penolong Pegawai Perubatan</v>
      </c>
      <c r="D115" s="119" t="str">
        <f>'Data &amp; Matriks'!C33</f>
        <v>U9</v>
      </c>
      <c r="E115" s="121" t="str">
        <f>IF('Data &amp; Matriks'!AA33="","",'Data &amp; Matriks'!AA33)</f>
        <v>SEDERHANA</v>
      </c>
      <c r="F115" s="122" t="s">
        <v>108</v>
      </c>
      <c r="G115" s="123" t="s">
        <v>103</v>
      </c>
      <c r="H115" s="124">
        <v>37.0</v>
      </c>
      <c r="I115" s="125"/>
      <c r="J115" s="65">
        <f>'Data &amp; Matriks'!AC33</f>
        <v>2</v>
      </c>
      <c r="K115" s="118">
        <f>IF(AND(F115="",G115=""),"",IF(E115="TINGGI",3000000,IF(E115="SEDERHANA",2000000,IF(E115="RENDAH",1000000,500000)))+(139-115))</f>
        <v>2000024</v>
      </c>
    </row>
    <row r="116" ht="24.0" customHeight="1">
      <c r="A116" s="32"/>
      <c r="B116" s="116">
        <v>2.0</v>
      </c>
      <c r="C116" s="83" t="str">
        <f>'Data &amp; Matriks'!B33</f>
        <v>Penolong Pegawai Perubatan</v>
      </c>
      <c r="D116" s="64" t="str">
        <f>'Data &amp; Matriks'!C33</f>
        <v>U9</v>
      </c>
      <c r="E116" s="117" t="str">
        <f>IF('Data &amp; Matriks'!AA33="","",'Data &amp; Matriks'!AA33)</f>
        <v>SEDERHANA</v>
      </c>
      <c r="F116" s="122" t="s">
        <v>109</v>
      </c>
      <c r="G116" s="89" t="s">
        <v>101</v>
      </c>
      <c r="H116" s="89">
        <v>43.0</v>
      </c>
      <c r="I116" s="83"/>
      <c r="J116" s="65">
        <f>'Data &amp; Matriks'!AC33</f>
        <v>2</v>
      </c>
      <c r="K116" s="118">
        <f>IF(AND(F116="",G116=""),"",IF(E116="TINGGI",3000000,IF(E116="SEDERHANA",2000000,IF(E116="RENDAH",1000000,500000)))+(139-116))</f>
        <v>2000023</v>
      </c>
    </row>
    <row r="117" ht="24.0" customHeight="1">
      <c r="A117" s="32"/>
      <c r="B117" s="116">
        <v>3.0</v>
      </c>
      <c r="C117" s="83" t="str">
        <f>'Data &amp; Matriks'!B33</f>
        <v>Penolong Pegawai Perubatan</v>
      </c>
      <c r="D117" s="64" t="str">
        <f>'Data &amp; Matriks'!C33</f>
        <v>U9</v>
      </c>
      <c r="E117" s="117" t="str">
        <f>IF('Data &amp; Matriks'!AA33="","",'Data &amp; Matriks'!AA33)</f>
        <v>SEDERHANA</v>
      </c>
      <c r="F117" s="83"/>
      <c r="G117" s="64"/>
      <c r="H117" s="64"/>
      <c r="I117" s="83"/>
      <c r="J117" s="65">
        <f>'Data &amp; Matriks'!AC33</f>
        <v>2</v>
      </c>
      <c r="K117" s="118" t="str">
        <f>IF(AND(F117="",G117=""),"",IF(E117="TINGGI",3000000,IF(E117="SEDERHANA",2000000,IF(E117="RENDAH",1000000,500000)))+(139-117))</f>
        <v/>
      </c>
    </row>
    <row r="118" ht="24.0" customHeight="1">
      <c r="A118" s="32"/>
      <c r="B118" s="116">
        <v>4.0</v>
      </c>
      <c r="C118" s="83" t="str">
        <f>'Data &amp; Matriks'!B33</f>
        <v>Penolong Pegawai Perubatan</v>
      </c>
      <c r="D118" s="64" t="str">
        <f>'Data &amp; Matriks'!C33</f>
        <v>U9</v>
      </c>
      <c r="E118" s="117" t="str">
        <f>IF('Data &amp; Matriks'!AA33="","",'Data &amp; Matriks'!AA33)</f>
        <v>SEDERHANA</v>
      </c>
      <c r="F118" s="83"/>
      <c r="G118" s="64"/>
      <c r="H118" s="64"/>
      <c r="I118" s="83"/>
      <c r="J118" s="65">
        <f>'Data &amp; Matriks'!AC33</f>
        <v>2</v>
      </c>
      <c r="K118" s="118" t="str">
        <f>IF(AND(F118="",G118=""),"",IF(E118="TINGGI",3000000,IF(E118="SEDERHANA",2000000,IF(E118="RENDAH",1000000,500000)))+(139-118))</f>
        <v/>
      </c>
    </row>
    <row r="119" ht="24.0" customHeight="1">
      <c r="A119" s="40"/>
      <c r="B119" s="116">
        <v>5.0</v>
      </c>
      <c r="C119" s="83" t="str">
        <f>'Data &amp; Matriks'!B33</f>
        <v>Penolong Pegawai Perubatan</v>
      </c>
      <c r="D119" s="64" t="str">
        <f>'Data &amp; Matriks'!C33</f>
        <v>U9</v>
      </c>
      <c r="E119" s="117" t="str">
        <f>IF('Data &amp; Matriks'!AA33="","",'Data &amp; Matriks'!AA33)</f>
        <v>SEDERHANA</v>
      </c>
      <c r="F119" s="83"/>
      <c r="G119" s="64"/>
      <c r="H119" s="64"/>
      <c r="I119" s="83"/>
      <c r="J119" s="65">
        <f>'Data &amp; Matriks'!AC33</f>
        <v>2</v>
      </c>
      <c r="K119" s="118" t="str">
        <f>IF(AND(F119="",G119=""),"",IF(E119="TINGGI",3000000,IF(E119="SEDERHANA",2000000,IF(E119="RENDAH",1000000,500000)))+(139-119))</f>
        <v/>
      </c>
    </row>
    <row r="120" ht="24.0" customHeight="1">
      <c r="A120" s="115">
        <v>24.0</v>
      </c>
      <c r="B120" s="116">
        <v>1.0</v>
      </c>
      <c r="C120" s="83" t="str">
        <f>'Data &amp; Matriks'!B34</f>
        <v>Pegawai Kesihatan Persekitaran </v>
      </c>
      <c r="D120" s="64" t="str">
        <f>'Data &amp; Matriks'!C34</f>
        <v>U9</v>
      </c>
      <c r="E120" s="117" t="str">
        <f>IF('Data &amp; Matriks'!AA34="","",'Data &amp; Matriks'!AA34)</f>
        <v>TINGGI</v>
      </c>
      <c r="F120" s="83" t="s">
        <v>110</v>
      </c>
      <c r="G120" s="64" t="s">
        <v>103</v>
      </c>
      <c r="H120" s="64">
        <v>4.0</v>
      </c>
      <c r="I120" s="83"/>
      <c r="J120" s="65">
        <f>'Data &amp; Matriks'!AC34</f>
        <v>1</v>
      </c>
      <c r="K120" s="118">
        <f>IF(AND(F120="",G120=""),"",IF(E120="TINGGI",3000000,IF(E120="SEDERHANA",2000000,IF(E120="RENDAH",1000000,500000)))+(139-120))</f>
        <v>3000019</v>
      </c>
    </row>
    <row r="121" ht="24.0" customHeight="1">
      <c r="A121" s="32"/>
      <c r="B121" s="116">
        <v>2.0</v>
      </c>
      <c r="C121" s="83" t="str">
        <f>'Data &amp; Matriks'!B34</f>
        <v>Pegawai Kesihatan Persekitaran </v>
      </c>
      <c r="D121" s="64" t="str">
        <f>'Data &amp; Matriks'!C34</f>
        <v>U9</v>
      </c>
      <c r="E121" s="117" t="str">
        <f>IF('Data &amp; Matriks'!AA34="","",'Data &amp; Matriks'!AA34)</f>
        <v>TINGGI</v>
      </c>
      <c r="F121" s="83"/>
      <c r="G121" s="64"/>
      <c r="H121" s="64"/>
      <c r="I121" s="83"/>
      <c r="J121" s="65">
        <f>'Data &amp; Matriks'!AC34</f>
        <v>1</v>
      </c>
      <c r="K121" s="118" t="str">
        <f>IF(AND(F121="",G121=""),"",IF(E121="TINGGI",3000000,IF(E121="SEDERHANA",2000000,IF(E121="RENDAH",1000000,500000)))+(139-121))</f>
        <v/>
      </c>
    </row>
    <row r="122" ht="24.0" customHeight="1">
      <c r="A122" s="32"/>
      <c r="B122" s="116">
        <v>3.0</v>
      </c>
      <c r="C122" s="83" t="str">
        <f>'Data &amp; Matriks'!B34</f>
        <v>Pegawai Kesihatan Persekitaran </v>
      </c>
      <c r="D122" s="64" t="str">
        <f>'Data &amp; Matriks'!C34</f>
        <v>U9</v>
      </c>
      <c r="E122" s="117" t="str">
        <f>IF('Data &amp; Matriks'!AA34="","",'Data &amp; Matriks'!AA34)</f>
        <v>TINGGI</v>
      </c>
      <c r="F122" s="83"/>
      <c r="G122" s="64"/>
      <c r="H122" s="64"/>
      <c r="I122" s="83"/>
      <c r="J122" s="65">
        <f>'Data &amp; Matriks'!AC34</f>
        <v>1</v>
      </c>
      <c r="K122" s="118" t="str">
        <f>IF(AND(F122="",G122=""),"",IF(E122="TINGGI",3000000,IF(E122="SEDERHANA",2000000,IF(E122="RENDAH",1000000,500000)))+(139-122))</f>
        <v/>
      </c>
    </row>
    <row r="123" ht="24.0" customHeight="1">
      <c r="A123" s="32"/>
      <c r="B123" s="116">
        <v>4.0</v>
      </c>
      <c r="C123" s="83" t="str">
        <f>'Data &amp; Matriks'!B34</f>
        <v>Pegawai Kesihatan Persekitaran </v>
      </c>
      <c r="D123" s="64" t="str">
        <f>'Data &amp; Matriks'!C34</f>
        <v>U9</v>
      </c>
      <c r="E123" s="117" t="str">
        <f>IF('Data &amp; Matriks'!AA34="","",'Data &amp; Matriks'!AA34)</f>
        <v>TINGGI</v>
      </c>
      <c r="F123" s="83"/>
      <c r="G123" s="64"/>
      <c r="H123" s="64"/>
      <c r="I123" s="83"/>
      <c r="J123" s="65">
        <f>'Data &amp; Matriks'!AC34</f>
        <v>1</v>
      </c>
      <c r="K123" s="118" t="str">
        <f>IF(AND(F123="",G123=""),"",IF(E123="TINGGI",3000000,IF(E123="SEDERHANA",2000000,IF(E123="RENDAH",1000000,500000)))+(139-123))</f>
        <v/>
      </c>
    </row>
    <row r="124" ht="24.0" customHeight="1">
      <c r="A124" s="40"/>
      <c r="B124" s="116">
        <v>5.0</v>
      </c>
      <c r="C124" s="83" t="str">
        <f>'Data &amp; Matriks'!B34</f>
        <v>Pegawai Kesihatan Persekitaran </v>
      </c>
      <c r="D124" s="64" t="str">
        <f>'Data &amp; Matriks'!C34</f>
        <v>U9</v>
      </c>
      <c r="E124" s="117" t="str">
        <f>IF('Data &amp; Matriks'!AA34="","",'Data &amp; Matriks'!AA34)</f>
        <v>TINGGI</v>
      </c>
      <c r="F124" s="83"/>
      <c r="G124" s="64"/>
      <c r="H124" s="64"/>
      <c r="I124" s="83"/>
      <c r="J124" s="65">
        <f>'Data &amp; Matriks'!AC34</f>
        <v>1</v>
      </c>
      <c r="K124" s="118" t="str">
        <f>IF(AND(F124="",G124=""),"",IF(E124="TINGGI",3000000,IF(E124="SEDERHANA",2000000,IF(E124="RENDAH",1000000,500000)))+(139-124))</f>
        <v/>
      </c>
    </row>
    <row r="125" ht="24.0" customHeight="1">
      <c r="A125" s="115">
        <v>25.0</v>
      </c>
      <c r="B125" s="116">
        <v>1.0</v>
      </c>
      <c r="C125" s="83" t="str">
        <f>'Data &amp; Matriks'!B35</f>
        <v>Juru X-Ray (Terapi)</v>
      </c>
      <c r="D125" s="64" t="str">
        <f>'Data &amp; Matriks'!C35</f>
        <v>U9</v>
      </c>
      <c r="E125" s="117" t="str">
        <f>IF('Data &amp; Matriks'!AA35="","",'Data &amp; Matriks'!AA35)</f>
        <v>RENDAH</v>
      </c>
      <c r="F125" s="83"/>
      <c r="G125" s="64"/>
      <c r="H125" s="64"/>
      <c r="I125" s="83"/>
      <c r="J125" s="65" t="str">
        <f>'Data &amp; Matriks'!AC35</f>
        <v/>
      </c>
      <c r="K125" s="118" t="str">
        <f>IF(AND(F125="",G125=""),"",IF(E125="TINGGI",3000000,IF(E125="SEDERHANA",2000000,IF(E125="RENDAH",1000000,500000)))+(139-125))</f>
        <v/>
      </c>
    </row>
    <row r="126" ht="24.0" customHeight="1">
      <c r="A126" s="32"/>
      <c r="B126" s="116">
        <v>2.0</v>
      </c>
      <c r="C126" s="83" t="str">
        <f>'Data &amp; Matriks'!B35</f>
        <v>Juru X-Ray (Terapi)</v>
      </c>
      <c r="D126" s="64" t="str">
        <f>'Data &amp; Matriks'!C35</f>
        <v>U9</v>
      </c>
      <c r="E126" s="117" t="str">
        <f>IF('Data &amp; Matriks'!AA35="","",'Data &amp; Matriks'!AA35)</f>
        <v>RENDAH</v>
      </c>
      <c r="F126" s="83"/>
      <c r="G126" s="64"/>
      <c r="H126" s="64"/>
      <c r="I126" s="83"/>
      <c r="J126" s="65" t="str">
        <f>'Data &amp; Matriks'!AC35</f>
        <v/>
      </c>
      <c r="K126" s="118" t="str">
        <f>IF(AND(F126="",G126=""),"",IF(E126="TINGGI",3000000,IF(E126="SEDERHANA",2000000,IF(E126="RENDAH",1000000,500000)))+(139-126))</f>
        <v/>
      </c>
    </row>
    <row r="127" ht="24.0" customHeight="1">
      <c r="A127" s="32"/>
      <c r="B127" s="116">
        <v>3.0</v>
      </c>
      <c r="C127" s="83" t="str">
        <f>'Data &amp; Matriks'!B35</f>
        <v>Juru X-Ray (Terapi)</v>
      </c>
      <c r="D127" s="64" t="str">
        <f>'Data &amp; Matriks'!C35</f>
        <v>U9</v>
      </c>
      <c r="E127" s="117" t="str">
        <f>IF('Data &amp; Matriks'!AA35="","",'Data &amp; Matriks'!AA35)</f>
        <v>RENDAH</v>
      </c>
      <c r="F127" s="83"/>
      <c r="G127" s="64"/>
      <c r="H127" s="64"/>
      <c r="I127" s="83"/>
      <c r="J127" s="65" t="str">
        <f>'Data &amp; Matriks'!AC35</f>
        <v/>
      </c>
      <c r="K127" s="118" t="str">
        <f>IF(AND(F127="",G127=""),"",IF(E127="TINGGI",3000000,IF(E127="SEDERHANA",2000000,IF(E127="RENDAH",1000000,500000)))+(139-127))</f>
        <v/>
      </c>
    </row>
    <row r="128" ht="24.0" customHeight="1">
      <c r="A128" s="32"/>
      <c r="B128" s="116">
        <v>4.0</v>
      </c>
      <c r="C128" s="83" t="str">
        <f>'Data &amp; Matriks'!B35</f>
        <v>Juru X-Ray (Terapi)</v>
      </c>
      <c r="D128" s="64" t="str">
        <f>'Data &amp; Matriks'!C35</f>
        <v>U9</v>
      </c>
      <c r="E128" s="117" t="str">
        <f>IF('Data &amp; Matriks'!AA35="","",'Data &amp; Matriks'!AA35)</f>
        <v>RENDAH</v>
      </c>
      <c r="F128" s="83"/>
      <c r="G128" s="64"/>
      <c r="H128" s="64"/>
      <c r="I128" s="83"/>
      <c r="J128" s="65" t="str">
        <f>'Data &amp; Matriks'!AC35</f>
        <v/>
      </c>
      <c r="K128" s="118" t="str">
        <f>IF(AND(F128="",G128=""),"",IF(E128="TINGGI",3000000,IF(E128="SEDERHANA",2000000,IF(E128="RENDAH",1000000,500000)))+(139-128))</f>
        <v/>
      </c>
    </row>
    <row r="129" ht="24.0" customHeight="1">
      <c r="A129" s="40"/>
      <c r="B129" s="116">
        <v>5.0</v>
      </c>
      <c r="C129" s="83" t="str">
        <f>'Data &amp; Matriks'!B35</f>
        <v>Juru X-Ray (Terapi)</v>
      </c>
      <c r="D129" s="64" t="str">
        <f>'Data &amp; Matriks'!C35</f>
        <v>U9</v>
      </c>
      <c r="E129" s="117" t="str">
        <f>IF('Data &amp; Matriks'!AA35="","",'Data &amp; Matriks'!AA35)</f>
        <v>RENDAH</v>
      </c>
      <c r="F129" s="83"/>
      <c r="G129" s="64"/>
      <c r="H129" s="64"/>
      <c r="I129" s="83"/>
      <c r="J129" s="65" t="str">
        <f>'Data &amp; Matriks'!AC35</f>
        <v/>
      </c>
      <c r="K129" s="118" t="str">
        <f>IF(AND(F129="",G129=""),"",IF(E129="TINGGI",3000000,IF(E129="SEDERHANA",2000000,IF(E129="RENDAH",1000000,500000)))+(139-129))</f>
        <v/>
      </c>
    </row>
    <row r="130" ht="24.0" customHeight="1">
      <c r="A130" s="115">
        <v>26.0</v>
      </c>
      <c r="B130" s="116">
        <v>1.0</v>
      </c>
      <c r="C130" s="83" t="str">
        <f>'Data &amp; Matriks'!B36</f>
        <v>Juru X-Ray (Diagnostik)</v>
      </c>
      <c r="D130" s="64" t="str">
        <f>'Data &amp; Matriks'!C36</f>
        <v>U9</v>
      </c>
      <c r="E130" s="117" t="str">
        <f>IF('Data &amp; Matriks'!AA36="","",'Data &amp; Matriks'!AA36)</f>
        <v>SEDERHANA</v>
      </c>
      <c r="F130" s="83" t="s">
        <v>111</v>
      </c>
      <c r="G130" s="96" t="s">
        <v>101</v>
      </c>
      <c r="H130" s="96">
        <v>7.0</v>
      </c>
      <c r="I130" s="83"/>
      <c r="J130" s="65">
        <f>'Data &amp; Matriks'!AC36</f>
        <v>1</v>
      </c>
      <c r="K130" s="118">
        <f>IF(AND(F130="",G130=""),"",IF(E130="TINGGI",3000000,IF(E130="SEDERHANA",2000000,IF(E130="RENDAH",1000000,500000)))+(139-130))</f>
        <v>2000009</v>
      </c>
    </row>
    <row r="131" ht="24.0" customHeight="1">
      <c r="A131" s="32"/>
      <c r="B131" s="116">
        <v>2.0</v>
      </c>
      <c r="C131" s="83" t="str">
        <f>'Data &amp; Matriks'!B36</f>
        <v>Juru X-Ray (Diagnostik)</v>
      </c>
      <c r="D131" s="64" t="str">
        <f>'Data &amp; Matriks'!C36</f>
        <v>U9</v>
      </c>
      <c r="E131" s="117" t="str">
        <f>IF('Data &amp; Matriks'!AA36="","",'Data &amp; Matriks'!AA36)</f>
        <v>SEDERHANA</v>
      </c>
      <c r="F131" s="83"/>
      <c r="G131" s="64"/>
      <c r="H131" s="64"/>
      <c r="I131" s="83"/>
      <c r="J131" s="65">
        <f>'Data &amp; Matriks'!AC36</f>
        <v>1</v>
      </c>
      <c r="K131" s="118" t="str">
        <f>IF(AND(F131="",G131=""),"",IF(E131="TINGGI",3000000,IF(E131="SEDERHANA",2000000,IF(E131="RENDAH",1000000,500000)))+(139-131))</f>
        <v/>
      </c>
    </row>
    <row r="132" ht="24.0" customHeight="1">
      <c r="A132" s="32"/>
      <c r="B132" s="116">
        <v>3.0</v>
      </c>
      <c r="C132" s="83" t="str">
        <f>'Data &amp; Matriks'!B36</f>
        <v>Juru X-Ray (Diagnostik)</v>
      </c>
      <c r="D132" s="64" t="str">
        <f>'Data &amp; Matriks'!C36</f>
        <v>U9</v>
      </c>
      <c r="E132" s="117" t="str">
        <f>IF('Data &amp; Matriks'!AA36="","",'Data &amp; Matriks'!AA36)</f>
        <v>SEDERHANA</v>
      </c>
      <c r="F132" s="83"/>
      <c r="G132" s="64"/>
      <c r="H132" s="64"/>
      <c r="I132" s="83"/>
      <c r="J132" s="65">
        <f>'Data &amp; Matriks'!AC36</f>
        <v>1</v>
      </c>
      <c r="K132" s="118" t="str">
        <f>IF(AND(F132="",G132=""),"",IF(E132="TINGGI",3000000,IF(E132="SEDERHANA",2000000,IF(E132="RENDAH",1000000,500000)))+(139-132))</f>
        <v/>
      </c>
    </row>
    <row r="133" ht="24.0" customHeight="1">
      <c r="A133" s="32"/>
      <c r="B133" s="116">
        <v>4.0</v>
      </c>
      <c r="C133" s="83" t="str">
        <f>'Data &amp; Matriks'!B36</f>
        <v>Juru X-Ray (Diagnostik)</v>
      </c>
      <c r="D133" s="64" t="str">
        <f>'Data &amp; Matriks'!C36</f>
        <v>U9</v>
      </c>
      <c r="E133" s="117" t="str">
        <f>IF('Data &amp; Matriks'!AA36="","",'Data &amp; Matriks'!AA36)</f>
        <v>SEDERHANA</v>
      </c>
      <c r="F133" s="83"/>
      <c r="G133" s="64"/>
      <c r="H133" s="64"/>
      <c r="I133" s="83"/>
      <c r="J133" s="65">
        <f>'Data &amp; Matriks'!AC36</f>
        <v>1</v>
      </c>
      <c r="K133" s="118" t="str">
        <f>IF(AND(F133="",G133=""),"",IF(E133="TINGGI",3000000,IF(E133="SEDERHANA",2000000,IF(E133="RENDAH",1000000,500000)))+(139-133))</f>
        <v/>
      </c>
    </row>
    <row r="134" ht="24.0" customHeight="1">
      <c r="A134" s="40"/>
      <c r="B134" s="126">
        <v>5.0</v>
      </c>
      <c r="C134" s="83" t="str">
        <f>'Data &amp; Matriks'!B36</f>
        <v>Juru X-Ray (Diagnostik)</v>
      </c>
      <c r="D134" s="64" t="str">
        <f>'Data &amp; Matriks'!C36</f>
        <v>U9</v>
      </c>
      <c r="E134" s="117" t="str">
        <f>IF('Data &amp; Matriks'!AA36="","",'Data &amp; Matriks'!AA36)</f>
        <v>SEDERHANA</v>
      </c>
      <c r="F134" s="83"/>
      <c r="G134" s="64"/>
      <c r="H134" s="64"/>
      <c r="I134" s="83"/>
      <c r="J134" s="65">
        <f>'Data &amp; Matriks'!AC36</f>
        <v>1</v>
      </c>
      <c r="K134" s="118" t="str">
        <f>IF(AND(F134="",G134=""),"",IF(E134="TINGGI",3000000,IF(E134="SEDERHANA",2000000,IF(E134="RENDAH",1000000,500000)))+(139-134))</f>
        <v/>
      </c>
    </row>
    <row r="135" ht="14.25" customHeight="1">
      <c r="A135" s="3"/>
      <c r="B135" s="3"/>
      <c r="C135" s="3"/>
      <c r="D135" s="3"/>
      <c r="E135" s="3"/>
      <c r="F135" s="3"/>
      <c r="G135" s="3"/>
      <c r="H135" s="3"/>
      <c r="I135" s="3"/>
      <c r="J135" s="3"/>
      <c r="K135" s="3"/>
    </row>
    <row r="136" ht="14.25" customHeight="1">
      <c r="A136" s="3"/>
      <c r="B136" s="3"/>
      <c r="C136" s="3"/>
      <c r="D136" s="3"/>
      <c r="E136" s="3"/>
      <c r="F136" s="3"/>
      <c r="G136" s="3"/>
      <c r="H136" s="3"/>
      <c r="I136" s="3"/>
      <c r="J136" s="3"/>
      <c r="K136" s="3"/>
    </row>
    <row r="137" ht="14.25" customHeight="1">
      <c r="A137" s="3"/>
      <c r="B137" s="3"/>
      <c r="C137" s="3"/>
      <c r="D137" s="3"/>
      <c r="E137" s="3"/>
      <c r="F137" s="3"/>
      <c r="G137" s="3"/>
      <c r="H137" s="3"/>
      <c r="I137" s="3"/>
      <c r="J137" s="3"/>
      <c r="K137" s="3"/>
    </row>
    <row r="138" ht="14.25" customHeight="1">
      <c r="A138" s="3"/>
      <c r="B138" s="3"/>
      <c r="C138" s="3"/>
      <c r="D138" s="3"/>
      <c r="E138" s="3"/>
      <c r="F138" s="3"/>
      <c r="G138" s="3"/>
      <c r="H138" s="3"/>
      <c r="I138" s="3"/>
      <c r="J138" s="3"/>
      <c r="K138" s="3"/>
    </row>
    <row r="139" ht="14.25" customHeight="1">
      <c r="A139" s="3"/>
      <c r="B139" s="3"/>
      <c r="C139" s="3"/>
      <c r="D139" s="3"/>
      <c r="E139" s="3"/>
      <c r="F139" s="3"/>
      <c r="G139" s="3"/>
      <c r="H139" s="3"/>
      <c r="I139" s="3"/>
      <c r="J139" s="3"/>
      <c r="K139" s="3"/>
    </row>
    <row r="140" ht="14.25" customHeight="1">
      <c r="A140" s="3"/>
      <c r="B140" s="3"/>
      <c r="C140" s="3"/>
      <c r="D140" s="3"/>
      <c r="E140" s="3"/>
      <c r="F140" s="3"/>
      <c r="G140" s="3"/>
      <c r="H140" s="3"/>
      <c r="I140" s="3"/>
      <c r="J140" s="3"/>
      <c r="K140" s="3"/>
    </row>
    <row r="141" ht="14.25" customHeight="1">
      <c r="A141" s="3"/>
      <c r="B141" s="3"/>
      <c r="C141" s="3"/>
      <c r="D141" s="3"/>
      <c r="E141" s="3"/>
      <c r="F141" s="3"/>
      <c r="G141" s="3"/>
      <c r="H141" s="3"/>
      <c r="I141" s="3"/>
      <c r="J141" s="3"/>
      <c r="K141" s="3"/>
    </row>
    <row r="142" ht="14.25" customHeight="1">
      <c r="A142" s="3"/>
      <c r="B142" s="3"/>
      <c r="C142" s="3"/>
      <c r="D142" s="3"/>
      <c r="E142" s="3"/>
      <c r="F142" s="3"/>
      <c r="G142" s="3"/>
      <c r="H142" s="3"/>
      <c r="I142" s="3"/>
      <c r="J142" s="3"/>
      <c r="K142" s="3"/>
    </row>
    <row r="143" ht="14.25" customHeight="1">
      <c r="A143" s="3"/>
      <c r="B143" s="3"/>
      <c r="C143" s="3"/>
      <c r="D143" s="3"/>
      <c r="E143" s="3"/>
      <c r="F143" s="3"/>
      <c r="G143" s="3"/>
      <c r="H143" s="3"/>
      <c r="I143" s="3"/>
      <c r="J143" s="3"/>
      <c r="K143" s="3"/>
    </row>
    <row r="144" ht="14.25" customHeight="1">
      <c r="A144" s="3"/>
      <c r="B144" s="3"/>
      <c r="C144" s="3"/>
      <c r="D144" s="3"/>
      <c r="E144" s="3"/>
      <c r="F144" s="3"/>
      <c r="G144" s="3"/>
      <c r="H144" s="3"/>
      <c r="I144" s="3"/>
      <c r="J144" s="3"/>
      <c r="K144" s="3"/>
    </row>
    <row r="145" ht="14.25" customHeight="1">
      <c r="A145" s="3"/>
      <c r="B145" s="3"/>
      <c r="C145" s="3"/>
      <c r="D145" s="3"/>
      <c r="E145" s="3"/>
      <c r="F145" s="3"/>
      <c r="G145" s="3"/>
      <c r="H145" s="3"/>
      <c r="I145" s="3"/>
      <c r="J145" s="3"/>
      <c r="K145" s="3"/>
    </row>
    <row r="146" ht="14.25" customHeight="1">
      <c r="A146" s="3"/>
      <c r="B146" s="3"/>
      <c r="C146" s="3"/>
      <c r="D146" s="3"/>
      <c r="E146" s="3"/>
      <c r="F146" s="3"/>
      <c r="G146" s="3"/>
      <c r="H146" s="3"/>
      <c r="I146" s="3"/>
      <c r="J146" s="3"/>
      <c r="K146" s="3"/>
    </row>
    <row r="147" ht="14.25" customHeight="1">
      <c r="A147" s="3"/>
      <c r="B147" s="3"/>
      <c r="C147" s="3"/>
      <c r="D147" s="3"/>
      <c r="E147" s="3"/>
      <c r="F147" s="3"/>
      <c r="G147" s="3"/>
      <c r="H147" s="3"/>
      <c r="I147" s="3"/>
      <c r="J147" s="3"/>
      <c r="K147" s="3"/>
    </row>
    <row r="148" ht="14.25" customHeight="1">
      <c r="A148" s="3"/>
      <c r="B148" s="3"/>
      <c r="C148" s="3"/>
      <c r="D148" s="3"/>
      <c r="E148" s="3"/>
      <c r="F148" s="3"/>
      <c r="G148" s="3"/>
      <c r="H148" s="3"/>
      <c r="I148" s="3"/>
      <c r="J148" s="3"/>
      <c r="K148" s="3"/>
    </row>
    <row r="149" ht="14.25" customHeight="1">
      <c r="A149" s="3"/>
      <c r="B149" s="3"/>
      <c r="C149" s="3"/>
      <c r="D149" s="3"/>
      <c r="E149" s="3"/>
      <c r="F149" s="3"/>
      <c r="G149" s="3"/>
      <c r="H149" s="3"/>
      <c r="I149" s="3"/>
      <c r="J149" s="3"/>
      <c r="K149" s="3"/>
    </row>
    <row r="150" ht="14.25" customHeight="1">
      <c r="A150" s="3"/>
      <c r="B150" s="3"/>
      <c r="C150" s="3"/>
      <c r="D150" s="3"/>
      <c r="E150" s="3"/>
      <c r="F150" s="3"/>
      <c r="G150" s="3"/>
      <c r="H150" s="3"/>
      <c r="I150" s="3"/>
      <c r="J150" s="3"/>
      <c r="K150" s="3"/>
    </row>
    <row r="151" ht="14.25" customHeight="1">
      <c r="A151" s="3"/>
      <c r="B151" s="3"/>
      <c r="C151" s="3"/>
      <c r="D151" s="3"/>
      <c r="E151" s="3"/>
      <c r="F151" s="3"/>
      <c r="G151" s="3"/>
      <c r="H151" s="3"/>
      <c r="I151" s="3"/>
      <c r="J151" s="3"/>
      <c r="K151" s="3"/>
    </row>
    <row r="152" ht="14.25" customHeight="1">
      <c r="A152" s="3"/>
      <c r="B152" s="3"/>
      <c r="C152" s="3"/>
      <c r="D152" s="3"/>
      <c r="E152" s="3"/>
      <c r="F152" s="3"/>
      <c r="G152" s="3"/>
      <c r="H152" s="3"/>
      <c r="I152" s="3"/>
      <c r="J152" s="3"/>
      <c r="K152" s="3"/>
    </row>
    <row r="153" ht="14.25" customHeight="1">
      <c r="A153" s="3"/>
      <c r="B153" s="3"/>
      <c r="C153" s="3"/>
      <c r="D153" s="3"/>
      <c r="E153" s="3"/>
      <c r="F153" s="3"/>
      <c r="G153" s="3"/>
      <c r="H153" s="3"/>
      <c r="I153" s="3"/>
      <c r="J153" s="3"/>
      <c r="K153" s="3"/>
    </row>
    <row r="154" ht="14.25" customHeight="1">
      <c r="A154" s="3"/>
      <c r="B154" s="3"/>
      <c r="C154" s="3"/>
      <c r="D154" s="3"/>
      <c r="E154" s="3"/>
      <c r="F154" s="3"/>
      <c r="G154" s="3"/>
      <c r="H154" s="3"/>
      <c r="I154" s="3"/>
      <c r="J154" s="3"/>
      <c r="K154" s="3"/>
    </row>
    <row r="155" ht="14.25" customHeight="1">
      <c r="A155" s="3"/>
      <c r="B155" s="3"/>
      <c r="C155" s="3"/>
      <c r="D155" s="3"/>
      <c r="E155" s="3"/>
      <c r="F155" s="3"/>
      <c r="G155" s="3"/>
      <c r="H155" s="3"/>
      <c r="I155" s="3"/>
      <c r="J155" s="3"/>
      <c r="K155" s="3"/>
    </row>
    <row r="156" ht="14.25" customHeight="1">
      <c r="A156" s="3"/>
      <c r="B156" s="3"/>
      <c r="C156" s="3"/>
      <c r="D156" s="3"/>
      <c r="E156" s="3"/>
      <c r="F156" s="3"/>
      <c r="G156" s="3"/>
      <c r="H156" s="3"/>
      <c r="I156" s="3"/>
      <c r="J156" s="3"/>
      <c r="K156" s="3"/>
    </row>
    <row r="157" ht="14.25" customHeight="1">
      <c r="A157" s="3"/>
      <c r="B157" s="3"/>
      <c r="C157" s="3"/>
      <c r="D157" s="3"/>
      <c r="E157" s="3"/>
      <c r="F157" s="3"/>
      <c r="G157" s="3"/>
      <c r="H157" s="3"/>
      <c r="I157" s="3"/>
      <c r="J157" s="3"/>
      <c r="K157" s="3"/>
    </row>
    <row r="158" ht="14.25" customHeight="1">
      <c r="A158" s="3"/>
      <c r="B158" s="3"/>
      <c r="C158" s="3"/>
      <c r="D158" s="3"/>
      <c r="E158" s="3"/>
      <c r="F158" s="3"/>
      <c r="G158" s="3"/>
      <c r="H158" s="3"/>
      <c r="I158" s="3"/>
      <c r="J158" s="3"/>
      <c r="K158" s="3"/>
    </row>
    <row r="159" ht="14.25" customHeight="1">
      <c r="A159" s="3"/>
      <c r="B159" s="3"/>
      <c r="C159" s="3"/>
      <c r="D159" s="3"/>
      <c r="E159" s="3"/>
      <c r="F159" s="3"/>
      <c r="G159" s="3"/>
      <c r="H159" s="3"/>
      <c r="I159" s="3"/>
      <c r="J159" s="3"/>
      <c r="K159" s="3"/>
    </row>
    <row r="160" ht="14.25" customHeight="1">
      <c r="A160" s="3"/>
      <c r="B160" s="3"/>
      <c r="C160" s="3"/>
      <c r="D160" s="3"/>
      <c r="E160" s="3"/>
      <c r="F160" s="3"/>
      <c r="G160" s="3"/>
      <c r="H160" s="3"/>
      <c r="I160" s="3"/>
      <c r="J160" s="3"/>
      <c r="K160" s="3"/>
    </row>
    <row r="161" ht="14.25" customHeight="1">
      <c r="A161" s="3"/>
      <c r="B161" s="3"/>
      <c r="C161" s="3"/>
      <c r="D161" s="3"/>
      <c r="E161" s="3"/>
      <c r="F161" s="3"/>
      <c r="G161" s="3"/>
      <c r="H161" s="3"/>
      <c r="I161" s="3"/>
      <c r="J161" s="3"/>
      <c r="K161" s="3"/>
    </row>
    <row r="162" ht="14.25" customHeight="1">
      <c r="A162" s="3"/>
      <c r="B162" s="3"/>
      <c r="C162" s="3"/>
      <c r="D162" s="3"/>
      <c r="E162" s="3"/>
      <c r="F162" s="3"/>
      <c r="G162" s="3"/>
      <c r="H162" s="3"/>
      <c r="I162" s="3"/>
      <c r="J162" s="3"/>
      <c r="K162" s="3"/>
    </row>
    <row r="163" ht="14.25" customHeight="1">
      <c r="A163" s="3"/>
      <c r="B163" s="3"/>
      <c r="C163" s="3"/>
      <c r="D163" s="3"/>
      <c r="E163" s="3"/>
      <c r="F163" s="3"/>
      <c r="G163" s="3"/>
      <c r="H163" s="3"/>
      <c r="I163" s="3"/>
      <c r="J163" s="3"/>
      <c r="K163" s="3"/>
    </row>
    <row r="164" ht="14.25" customHeight="1">
      <c r="A164" s="3"/>
      <c r="B164" s="3"/>
      <c r="C164" s="3"/>
      <c r="D164" s="3"/>
      <c r="E164" s="3"/>
      <c r="F164" s="3"/>
      <c r="G164" s="3"/>
      <c r="H164" s="3"/>
      <c r="I164" s="3"/>
      <c r="J164" s="3"/>
      <c r="K164" s="3"/>
    </row>
    <row r="165" ht="14.25" customHeight="1">
      <c r="A165" s="3"/>
      <c r="B165" s="3"/>
      <c r="C165" s="3"/>
      <c r="D165" s="3"/>
      <c r="E165" s="3"/>
      <c r="F165" s="3"/>
      <c r="G165" s="3"/>
      <c r="H165" s="3"/>
      <c r="I165" s="3"/>
      <c r="J165" s="3"/>
      <c r="K165" s="3"/>
    </row>
    <row r="166" ht="14.25" customHeight="1">
      <c r="A166" s="3"/>
      <c r="B166" s="3"/>
      <c r="C166" s="3"/>
      <c r="D166" s="3"/>
      <c r="E166" s="3"/>
      <c r="F166" s="3"/>
      <c r="G166" s="3"/>
      <c r="H166" s="3"/>
      <c r="I166" s="3"/>
      <c r="J166" s="3"/>
      <c r="K166" s="3"/>
    </row>
    <row r="167" ht="14.25" customHeight="1">
      <c r="A167" s="3"/>
      <c r="B167" s="3"/>
      <c r="C167" s="3"/>
      <c r="D167" s="3"/>
      <c r="E167" s="3"/>
      <c r="F167" s="3"/>
      <c r="G167" s="3"/>
      <c r="H167" s="3"/>
      <c r="I167" s="3"/>
      <c r="J167" s="3"/>
      <c r="K167" s="3"/>
    </row>
    <row r="168" ht="14.25" customHeight="1">
      <c r="A168" s="3"/>
      <c r="B168" s="3"/>
      <c r="C168" s="3"/>
      <c r="D168" s="3"/>
      <c r="E168" s="3"/>
      <c r="F168" s="3"/>
      <c r="G168" s="3"/>
      <c r="H168" s="3"/>
      <c r="I168" s="3"/>
      <c r="J168" s="3"/>
      <c r="K168" s="3"/>
    </row>
    <row r="169" ht="14.25" customHeight="1">
      <c r="A169" s="3"/>
      <c r="B169" s="3"/>
      <c r="C169" s="3"/>
      <c r="D169" s="3"/>
      <c r="E169" s="3"/>
      <c r="F169" s="3"/>
      <c r="G169" s="3"/>
      <c r="H169" s="3"/>
      <c r="I169" s="3"/>
      <c r="J169" s="3"/>
      <c r="K169" s="3"/>
    </row>
    <row r="170" ht="14.25" customHeight="1">
      <c r="A170" s="3"/>
      <c r="B170" s="3"/>
      <c r="C170" s="3"/>
      <c r="D170" s="3"/>
      <c r="E170" s="3"/>
      <c r="F170" s="3"/>
      <c r="G170" s="3"/>
      <c r="H170" s="3"/>
      <c r="I170" s="3"/>
      <c r="J170" s="3"/>
      <c r="K170" s="3"/>
    </row>
    <row r="171" ht="14.25" customHeight="1">
      <c r="A171" s="3"/>
      <c r="B171" s="3"/>
      <c r="C171" s="3"/>
      <c r="D171" s="3"/>
      <c r="E171" s="3"/>
      <c r="F171" s="3"/>
      <c r="G171" s="3"/>
      <c r="H171" s="3"/>
      <c r="I171" s="3"/>
      <c r="J171" s="3"/>
      <c r="K171" s="3"/>
    </row>
    <row r="172" ht="14.25" customHeight="1">
      <c r="A172" s="3"/>
      <c r="B172" s="3"/>
      <c r="C172" s="3"/>
      <c r="D172" s="3"/>
      <c r="E172" s="3"/>
      <c r="F172" s="3"/>
      <c r="G172" s="3"/>
      <c r="H172" s="3"/>
      <c r="I172" s="3"/>
      <c r="J172" s="3"/>
      <c r="K172" s="3"/>
    </row>
    <row r="173" ht="14.25" customHeight="1">
      <c r="A173" s="3"/>
      <c r="B173" s="3"/>
      <c r="C173" s="3"/>
      <c r="D173" s="3"/>
      <c r="E173" s="3"/>
      <c r="F173" s="3"/>
      <c r="G173" s="3"/>
      <c r="H173" s="3"/>
      <c r="I173" s="3"/>
      <c r="J173" s="3"/>
      <c r="K173" s="3"/>
    </row>
    <row r="174" ht="14.25" customHeight="1">
      <c r="A174" s="3"/>
      <c r="B174" s="3"/>
      <c r="C174" s="3"/>
      <c r="D174" s="3"/>
      <c r="E174" s="3"/>
      <c r="F174" s="3"/>
      <c r="G174" s="3"/>
      <c r="H174" s="3"/>
      <c r="I174" s="3"/>
      <c r="J174" s="3"/>
      <c r="K174" s="3"/>
    </row>
    <row r="175" ht="14.25" customHeight="1">
      <c r="A175" s="3"/>
      <c r="B175" s="3"/>
      <c r="C175" s="3"/>
      <c r="D175" s="3"/>
      <c r="E175" s="3"/>
      <c r="F175" s="3"/>
      <c r="G175" s="3"/>
      <c r="H175" s="3"/>
      <c r="I175" s="3"/>
      <c r="J175" s="3"/>
      <c r="K175" s="3"/>
    </row>
    <row r="176" ht="14.25" customHeight="1">
      <c r="A176" s="3"/>
      <c r="B176" s="3"/>
      <c r="C176" s="3"/>
      <c r="D176" s="3"/>
      <c r="E176" s="3"/>
      <c r="F176" s="3"/>
      <c r="G176" s="3"/>
      <c r="H176" s="3"/>
      <c r="I176" s="3"/>
      <c r="J176" s="3"/>
      <c r="K176" s="3"/>
    </row>
    <row r="177" ht="14.25" customHeight="1">
      <c r="A177" s="3"/>
      <c r="B177" s="3"/>
      <c r="C177" s="3"/>
      <c r="D177" s="3"/>
      <c r="E177" s="3"/>
      <c r="F177" s="3"/>
      <c r="G177" s="3"/>
      <c r="H177" s="3"/>
      <c r="I177" s="3"/>
      <c r="J177" s="3"/>
      <c r="K177" s="3"/>
    </row>
    <row r="178" ht="14.25" customHeight="1">
      <c r="A178" s="3"/>
      <c r="B178" s="3"/>
      <c r="C178" s="3"/>
      <c r="D178" s="3"/>
      <c r="E178" s="3"/>
      <c r="F178" s="3"/>
      <c r="G178" s="3"/>
      <c r="H178" s="3"/>
      <c r="I178" s="3"/>
      <c r="J178" s="3"/>
      <c r="K178" s="3"/>
    </row>
    <row r="179" ht="14.25" customHeight="1">
      <c r="A179" s="3"/>
      <c r="B179" s="3"/>
      <c r="C179" s="3"/>
      <c r="D179" s="3"/>
      <c r="E179" s="3"/>
      <c r="F179" s="3"/>
      <c r="G179" s="3"/>
      <c r="H179" s="3"/>
      <c r="I179" s="3"/>
      <c r="J179" s="3"/>
      <c r="K179" s="3"/>
    </row>
    <row r="180" ht="14.25" customHeight="1">
      <c r="A180" s="3"/>
      <c r="B180" s="3"/>
      <c r="C180" s="3"/>
      <c r="D180" s="3"/>
      <c r="E180" s="3"/>
      <c r="F180" s="3"/>
      <c r="G180" s="3"/>
      <c r="H180" s="3"/>
      <c r="I180" s="3"/>
      <c r="J180" s="3"/>
      <c r="K180" s="3"/>
    </row>
    <row r="181" ht="14.25" customHeight="1">
      <c r="A181" s="3"/>
      <c r="B181" s="3"/>
      <c r="C181" s="3"/>
      <c r="D181" s="3"/>
      <c r="E181" s="3"/>
      <c r="F181" s="3"/>
      <c r="G181" s="3"/>
      <c r="H181" s="3"/>
      <c r="I181" s="3"/>
      <c r="J181" s="3"/>
      <c r="K181" s="3"/>
    </row>
    <row r="182" ht="14.25" customHeight="1">
      <c r="A182" s="3"/>
      <c r="B182" s="3"/>
      <c r="C182" s="3"/>
      <c r="D182" s="3"/>
      <c r="E182" s="3"/>
      <c r="F182" s="3"/>
      <c r="G182" s="3"/>
      <c r="H182" s="3"/>
      <c r="I182" s="3"/>
      <c r="J182" s="3"/>
      <c r="K182" s="3"/>
    </row>
    <row r="183" ht="14.25" customHeight="1">
      <c r="A183" s="3"/>
      <c r="B183" s="3"/>
      <c r="C183" s="3"/>
      <c r="D183" s="3"/>
      <c r="E183" s="3"/>
      <c r="F183" s="3"/>
      <c r="G183" s="3"/>
      <c r="H183" s="3"/>
      <c r="I183" s="3"/>
      <c r="J183" s="3"/>
      <c r="K183" s="3"/>
    </row>
    <row r="184" ht="14.25" customHeight="1">
      <c r="A184" s="3"/>
      <c r="B184" s="3"/>
      <c r="C184" s="3"/>
      <c r="D184" s="3"/>
      <c r="E184" s="3"/>
      <c r="F184" s="3"/>
      <c r="G184" s="3"/>
      <c r="H184" s="3"/>
      <c r="I184" s="3"/>
      <c r="J184" s="3"/>
      <c r="K184" s="3"/>
    </row>
    <row r="185" ht="14.25" customHeight="1">
      <c r="A185" s="3"/>
      <c r="B185" s="3"/>
      <c r="C185" s="3"/>
      <c r="D185" s="3"/>
      <c r="E185" s="3"/>
      <c r="F185" s="3"/>
      <c r="G185" s="3"/>
      <c r="H185" s="3"/>
      <c r="I185" s="3"/>
      <c r="J185" s="3"/>
      <c r="K185" s="3"/>
    </row>
    <row r="186" ht="14.25" customHeight="1">
      <c r="A186" s="3"/>
      <c r="B186" s="3"/>
      <c r="C186" s="3"/>
      <c r="D186" s="3"/>
      <c r="E186" s="3"/>
      <c r="F186" s="3"/>
      <c r="G186" s="3"/>
      <c r="H186" s="3"/>
      <c r="I186" s="3"/>
      <c r="J186" s="3"/>
      <c r="K186" s="3"/>
    </row>
    <row r="187" ht="14.25" customHeight="1">
      <c r="A187" s="3"/>
      <c r="B187" s="3"/>
      <c r="C187" s="3"/>
      <c r="D187" s="3"/>
      <c r="E187" s="3"/>
      <c r="F187" s="3"/>
      <c r="G187" s="3"/>
      <c r="H187" s="3"/>
      <c r="I187" s="3"/>
      <c r="J187" s="3"/>
      <c r="K187" s="3"/>
    </row>
    <row r="188" ht="14.25" customHeight="1">
      <c r="A188" s="3"/>
      <c r="B188" s="3"/>
      <c r="C188" s="3"/>
      <c r="D188" s="3"/>
      <c r="E188" s="3"/>
      <c r="F188" s="3"/>
      <c r="G188" s="3"/>
      <c r="H188" s="3"/>
      <c r="I188" s="3"/>
      <c r="J188" s="3"/>
      <c r="K188" s="3"/>
    </row>
    <row r="189" ht="14.25" customHeight="1">
      <c r="A189" s="3"/>
      <c r="B189" s="3"/>
      <c r="C189" s="3"/>
      <c r="D189" s="3"/>
      <c r="E189" s="3"/>
      <c r="F189" s="3"/>
      <c r="G189" s="3"/>
      <c r="H189" s="3"/>
      <c r="I189" s="3"/>
      <c r="J189" s="3"/>
      <c r="K189" s="3"/>
    </row>
    <row r="190" ht="14.25" customHeight="1">
      <c r="A190" s="3"/>
      <c r="B190" s="3"/>
      <c r="C190" s="3"/>
      <c r="D190" s="3"/>
      <c r="E190" s="3"/>
      <c r="F190" s="3"/>
      <c r="G190" s="3"/>
      <c r="H190" s="3"/>
      <c r="I190" s="3"/>
      <c r="J190" s="3"/>
      <c r="K190" s="3"/>
    </row>
    <row r="191" ht="14.25" customHeight="1">
      <c r="A191" s="3"/>
      <c r="B191" s="3"/>
      <c r="C191" s="3"/>
      <c r="D191" s="3"/>
      <c r="E191" s="3"/>
      <c r="F191" s="3"/>
      <c r="G191" s="3"/>
      <c r="H191" s="3"/>
      <c r="I191" s="3"/>
      <c r="J191" s="3"/>
      <c r="K191" s="3"/>
    </row>
    <row r="192" ht="14.25" customHeight="1">
      <c r="A192" s="3"/>
      <c r="B192" s="3"/>
      <c r="C192" s="3"/>
      <c r="D192" s="3"/>
      <c r="E192" s="3"/>
      <c r="F192" s="3"/>
      <c r="G192" s="3"/>
      <c r="H192" s="3"/>
      <c r="I192" s="3"/>
      <c r="J192" s="3"/>
      <c r="K192" s="3"/>
    </row>
    <row r="193" ht="14.25" customHeight="1">
      <c r="A193" s="3"/>
      <c r="B193" s="3"/>
      <c r="C193" s="3"/>
      <c r="D193" s="3"/>
      <c r="E193" s="3"/>
      <c r="F193" s="3"/>
      <c r="G193" s="3"/>
      <c r="H193" s="3"/>
      <c r="I193" s="3"/>
      <c r="J193" s="3"/>
      <c r="K193" s="3"/>
    </row>
    <row r="194" ht="14.25" customHeight="1">
      <c r="A194" s="3"/>
      <c r="B194" s="3"/>
      <c r="C194" s="3"/>
      <c r="D194" s="3"/>
      <c r="E194" s="3"/>
      <c r="F194" s="3"/>
      <c r="G194" s="3"/>
      <c r="H194" s="3"/>
      <c r="I194" s="3"/>
      <c r="J194" s="3"/>
      <c r="K194" s="3"/>
    </row>
    <row r="195" ht="14.25" customHeight="1">
      <c r="A195" s="3"/>
      <c r="B195" s="3"/>
      <c r="C195" s="3"/>
      <c r="D195" s="3"/>
      <c r="E195" s="3"/>
      <c r="F195" s="3"/>
      <c r="G195" s="3"/>
      <c r="H195" s="3"/>
      <c r="I195" s="3"/>
      <c r="J195" s="3"/>
      <c r="K195" s="3"/>
    </row>
    <row r="196" ht="14.25" customHeight="1">
      <c r="A196" s="3"/>
      <c r="B196" s="3"/>
      <c r="C196" s="3"/>
      <c r="D196" s="3"/>
      <c r="E196" s="3"/>
      <c r="F196" s="3"/>
      <c r="G196" s="3"/>
      <c r="H196" s="3"/>
      <c r="I196" s="3"/>
      <c r="J196" s="3"/>
      <c r="K196" s="3"/>
    </row>
    <row r="197" ht="14.25" customHeight="1">
      <c r="A197" s="3"/>
      <c r="B197" s="3"/>
      <c r="C197" s="3"/>
      <c r="D197" s="3"/>
      <c r="E197" s="3"/>
      <c r="F197" s="3"/>
      <c r="G197" s="3"/>
      <c r="H197" s="3"/>
      <c r="I197" s="3"/>
      <c r="J197" s="3"/>
      <c r="K197" s="3"/>
    </row>
    <row r="198" ht="14.25" customHeight="1">
      <c r="A198" s="3"/>
      <c r="B198" s="3"/>
      <c r="C198" s="3"/>
      <c r="D198" s="3"/>
      <c r="E198" s="3"/>
      <c r="F198" s="3"/>
      <c r="G198" s="3"/>
      <c r="H198" s="3"/>
      <c r="I198" s="3"/>
      <c r="J198" s="3"/>
      <c r="K198" s="3"/>
    </row>
    <row r="199" ht="14.25" customHeight="1">
      <c r="A199" s="3"/>
      <c r="B199" s="3"/>
      <c r="C199" s="3"/>
      <c r="D199" s="3"/>
      <c r="E199" s="3"/>
      <c r="F199" s="3"/>
      <c r="G199" s="3"/>
      <c r="H199" s="3"/>
      <c r="I199" s="3"/>
      <c r="J199" s="3"/>
      <c r="K199" s="3"/>
    </row>
    <row r="200" ht="14.25" customHeight="1">
      <c r="A200" s="3"/>
      <c r="B200" s="3"/>
      <c r="C200" s="3"/>
      <c r="D200" s="3"/>
      <c r="E200" s="3"/>
      <c r="F200" s="3"/>
      <c r="G200" s="3"/>
      <c r="H200" s="3"/>
      <c r="I200" s="3"/>
      <c r="J200" s="3"/>
      <c r="K200" s="3"/>
    </row>
    <row r="201" ht="14.25" customHeight="1">
      <c r="A201" s="3"/>
      <c r="B201" s="3"/>
      <c r="C201" s="3"/>
      <c r="D201" s="3"/>
      <c r="E201" s="3"/>
      <c r="F201" s="3"/>
      <c r="G201" s="3"/>
      <c r="H201" s="3"/>
      <c r="I201" s="3"/>
      <c r="J201" s="3"/>
      <c r="K201" s="3"/>
    </row>
    <row r="202" ht="14.25" customHeight="1">
      <c r="A202" s="3"/>
      <c r="B202" s="3"/>
      <c r="C202" s="3"/>
      <c r="D202" s="3"/>
      <c r="E202" s="3"/>
      <c r="F202" s="3"/>
      <c r="G202" s="3"/>
      <c r="H202" s="3"/>
      <c r="I202" s="3"/>
      <c r="J202" s="3"/>
      <c r="K202" s="3"/>
    </row>
    <row r="203" ht="14.25" customHeight="1">
      <c r="A203" s="3"/>
      <c r="B203" s="3"/>
      <c r="C203" s="3"/>
      <c r="D203" s="3"/>
      <c r="E203" s="3"/>
      <c r="F203" s="3"/>
      <c r="G203" s="3"/>
      <c r="H203" s="3"/>
      <c r="I203" s="3"/>
      <c r="J203" s="3"/>
      <c r="K203" s="3"/>
    </row>
    <row r="204" ht="14.25" customHeight="1">
      <c r="A204" s="3"/>
      <c r="B204" s="3"/>
      <c r="C204" s="3"/>
      <c r="D204" s="3"/>
      <c r="E204" s="3"/>
      <c r="F204" s="3"/>
      <c r="G204" s="3"/>
      <c r="H204" s="3"/>
      <c r="I204" s="3"/>
      <c r="J204" s="3"/>
      <c r="K204" s="3"/>
    </row>
    <row r="205" ht="14.25" customHeight="1">
      <c r="A205" s="3"/>
      <c r="B205" s="3"/>
      <c r="C205" s="3"/>
      <c r="D205" s="3"/>
      <c r="E205" s="3"/>
      <c r="F205" s="3"/>
      <c r="G205" s="3"/>
      <c r="H205" s="3"/>
      <c r="I205" s="3"/>
      <c r="J205" s="3"/>
      <c r="K205" s="3"/>
    </row>
    <row r="206" ht="14.25" customHeight="1">
      <c r="A206" s="3"/>
      <c r="B206" s="3"/>
      <c r="C206" s="3"/>
      <c r="D206" s="3"/>
      <c r="E206" s="3"/>
      <c r="F206" s="3"/>
      <c r="G206" s="3"/>
      <c r="H206" s="3"/>
      <c r="I206" s="3"/>
      <c r="J206" s="3"/>
      <c r="K206" s="3"/>
    </row>
    <row r="207" ht="14.25" customHeight="1">
      <c r="A207" s="3"/>
      <c r="B207" s="3"/>
      <c r="C207" s="3"/>
      <c r="D207" s="3"/>
      <c r="E207" s="3"/>
      <c r="F207" s="3"/>
      <c r="G207" s="3"/>
      <c r="H207" s="3"/>
      <c r="I207" s="3"/>
      <c r="J207" s="3"/>
      <c r="K207" s="3"/>
    </row>
    <row r="208" ht="14.25" customHeight="1">
      <c r="A208" s="3"/>
      <c r="B208" s="3"/>
      <c r="C208" s="3"/>
      <c r="D208" s="3"/>
      <c r="E208" s="3"/>
      <c r="F208" s="3"/>
      <c r="G208" s="3"/>
      <c r="H208" s="3"/>
      <c r="I208" s="3"/>
      <c r="J208" s="3"/>
      <c r="K208" s="3"/>
    </row>
    <row r="209" ht="14.25" customHeight="1">
      <c r="A209" s="3"/>
      <c r="B209" s="3"/>
      <c r="C209" s="3"/>
      <c r="D209" s="3"/>
      <c r="E209" s="3"/>
      <c r="F209" s="3"/>
      <c r="G209" s="3"/>
      <c r="H209" s="3"/>
      <c r="I209" s="3"/>
      <c r="J209" s="3"/>
      <c r="K209" s="3"/>
    </row>
    <row r="210" ht="14.25" customHeight="1">
      <c r="A210" s="3"/>
      <c r="B210" s="3"/>
      <c r="C210" s="3"/>
      <c r="D210" s="3"/>
      <c r="E210" s="3"/>
      <c r="F210" s="3"/>
      <c r="G210" s="3"/>
      <c r="H210" s="3"/>
      <c r="I210" s="3"/>
      <c r="J210" s="3"/>
      <c r="K210" s="3"/>
    </row>
    <row r="211" ht="14.25" customHeight="1">
      <c r="A211" s="3"/>
      <c r="B211" s="3"/>
      <c r="C211" s="3"/>
      <c r="D211" s="3"/>
      <c r="E211" s="3"/>
      <c r="F211" s="3"/>
      <c r="G211" s="3"/>
      <c r="H211" s="3"/>
      <c r="I211" s="3"/>
      <c r="J211" s="3"/>
      <c r="K211" s="3"/>
    </row>
    <row r="212" ht="14.25" customHeight="1">
      <c r="A212" s="3"/>
      <c r="B212" s="3"/>
      <c r="C212" s="3"/>
      <c r="D212" s="3"/>
      <c r="E212" s="3"/>
      <c r="F212" s="3"/>
      <c r="G212" s="3"/>
      <c r="H212" s="3"/>
      <c r="I212" s="3"/>
      <c r="J212" s="3"/>
      <c r="K212" s="3"/>
    </row>
    <row r="213" ht="14.25" customHeight="1">
      <c r="A213" s="3"/>
      <c r="B213" s="3"/>
      <c r="C213" s="3"/>
      <c r="D213" s="3"/>
      <c r="E213" s="3"/>
      <c r="F213" s="3"/>
      <c r="G213" s="3"/>
      <c r="H213" s="3"/>
      <c r="I213" s="3"/>
      <c r="J213" s="3"/>
      <c r="K213" s="3"/>
    </row>
    <row r="214" ht="14.25" customHeight="1">
      <c r="A214" s="3"/>
      <c r="B214" s="3"/>
      <c r="C214" s="3"/>
      <c r="D214" s="3"/>
      <c r="E214" s="3"/>
      <c r="F214" s="3"/>
      <c r="G214" s="3"/>
      <c r="H214" s="3"/>
      <c r="I214" s="3"/>
      <c r="J214" s="3"/>
      <c r="K214" s="3"/>
    </row>
    <row r="215" ht="14.25" customHeight="1">
      <c r="A215" s="3"/>
      <c r="B215" s="3"/>
      <c r="C215" s="3"/>
      <c r="D215" s="3"/>
      <c r="E215" s="3"/>
      <c r="F215" s="3"/>
      <c r="G215" s="3"/>
      <c r="H215" s="3"/>
      <c r="I215" s="3"/>
      <c r="J215" s="3"/>
      <c r="K215" s="3"/>
    </row>
    <row r="216" ht="14.25" customHeight="1">
      <c r="A216" s="3"/>
      <c r="B216" s="3"/>
      <c r="C216" s="3"/>
      <c r="D216" s="3"/>
      <c r="E216" s="3"/>
      <c r="F216" s="3"/>
      <c r="G216" s="3"/>
      <c r="H216" s="3"/>
      <c r="I216" s="3"/>
      <c r="J216" s="3"/>
      <c r="K216" s="3"/>
    </row>
    <row r="217" ht="14.25" customHeight="1">
      <c r="A217" s="3"/>
      <c r="B217" s="3"/>
      <c r="C217" s="3"/>
      <c r="D217" s="3"/>
      <c r="E217" s="3"/>
      <c r="F217" s="3"/>
      <c r="G217" s="3"/>
      <c r="H217" s="3"/>
      <c r="I217" s="3"/>
      <c r="J217" s="3"/>
      <c r="K217" s="3"/>
    </row>
    <row r="218" ht="14.25" customHeight="1">
      <c r="A218" s="3"/>
      <c r="B218" s="3"/>
      <c r="C218" s="3"/>
      <c r="D218" s="3"/>
      <c r="E218" s="3"/>
      <c r="F218" s="3"/>
      <c r="G218" s="3"/>
      <c r="H218" s="3"/>
      <c r="I218" s="3"/>
      <c r="J218" s="3"/>
      <c r="K218" s="3"/>
    </row>
    <row r="219" ht="14.25" customHeight="1">
      <c r="A219" s="3"/>
      <c r="B219" s="3"/>
      <c r="C219" s="3"/>
      <c r="D219" s="3"/>
      <c r="E219" s="3"/>
      <c r="F219" s="3"/>
      <c r="G219" s="3"/>
      <c r="H219" s="3"/>
      <c r="I219" s="3"/>
      <c r="J219" s="3"/>
      <c r="K219" s="3"/>
    </row>
    <row r="220" ht="14.25" customHeight="1">
      <c r="A220" s="3"/>
      <c r="B220" s="3"/>
      <c r="C220" s="3"/>
      <c r="D220" s="3"/>
      <c r="E220" s="3"/>
      <c r="F220" s="3"/>
      <c r="G220" s="3"/>
      <c r="H220" s="3"/>
      <c r="I220" s="3"/>
      <c r="J220" s="3"/>
      <c r="K220" s="3"/>
    </row>
    <row r="221" ht="14.25" customHeight="1">
      <c r="A221" s="3"/>
      <c r="B221" s="3"/>
      <c r="C221" s="3"/>
      <c r="D221" s="3"/>
      <c r="E221" s="3"/>
      <c r="F221" s="3"/>
      <c r="G221" s="3"/>
      <c r="H221" s="3"/>
      <c r="I221" s="3"/>
      <c r="J221" s="3"/>
      <c r="K221" s="3"/>
    </row>
    <row r="222" ht="14.25" customHeight="1">
      <c r="A222" s="3"/>
      <c r="B222" s="3"/>
      <c r="C222" s="3"/>
      <c r="D222" s="3"/>
      <c r="E222" s="3"/>
      <c r="F222" s="3"/>
      <c r="G222" s="3"/>
      <c r="H222" s="3"/>
      <c r="I222" s="3"/>
      <c r="J222" s="3"/>
      <c r="K222" s="3"/>
    </row>
    <row r="223" ht="14.25" customHeight="1">
      <c r="A223" s="3"/>
      <c r="B223" s="3"/>
      <c r="C223" s="3"/>
      <c r="D223" s="3"/>
      <c r="E223" s="3"/>
      <c r="F223" s="3"/>
      <c r="G223" s="3"/>
      <c r="H223" s="3"/>
      <c r="I223" s="3"/>
      <c r="J223" s="3"/>
      <c r="K223" s="3"/>
    </row>
    <row r="224" ht="14.25" customHeight="1">
      <c r="A224" s="3"/>
      <c r="B224" s="3"/>
      <c r="C224" s="3"/>
      <c r="D224" s="3"/>
      <c r="E224" s="3"/>
      <c r="F224" s="3"/>
      <c r="G224" s="3"/>
      <c r="H224" s="3"/>
      <c r="I224" s="3"/>
      <c r="J224" s="3"/>
      <c r="K224" s="3"/>
    </row>
    <row r="225" ht="14.25" customHeight="1">
      <c r="A225" s="3"/>
      <c r="B225" s="3"/>
      <c r="C225" s="3"/>
      <c r="D225" s="3"/>
      <c r="E225" s="3"/>
      <c r="F225" s="3"/>
      <c r="G225" s="3"/>
      <c r="H225" s="3"/>
      <c r="I225" s="3"/>
      <c r="J225" s="3"/>
      <c r="K225" s="3"/>
    </row>
    <row r="226" ht="14.25" customHeight="1">
      <c r="A226" s="3"/>
      <c r="B226" s="3"/>
      <c r="C226" s="3"/>
      <c r="D226" s="3"/>
      <c r="E226" s="3"/>
      <c r="F226" s="3"/>
      <c r="G226" s="3"/>
      <c r="H226" s="3"/>
      <c r="I226" s="3"/>
      <c r="J226" s="3"/>
      <c r="K226" s="3"/>
    </row>
    <row r="227" ht="14.25" customHeight="1">
      <c r="A227" s="3"/>
      <c r="B227" s="3"/>
      <c r="C227" s="3"/>
      <c r="D227" s="3"/>
      <c r="E227" s="3"/>
      <c r="F227" s="3"/>
      <c r="G227" s="3"/>
      <c r="H227" s="3"/>
      <c r="I227" s="3"/>
      <c r="J227" s="3"/>
      <c r="K227" s="3"/>
    </row>
    <row r="228" ht="14.25" customHeight="1">
      <c r="A228" s="3"/>
      <c r="B228" s="3"/>
      <c r="C228" s="3"/>
      <c r="D228" s="3"/>
      <c r="E228" s="3"/>
      <c r="F228" s="3"/>
      <c r="G228" s="3"/>
      <c r="H228" s="3"/>
      <c r="I228" s="3"/>
      <c r="J228" s="3"/>
      <c r="K228" s="3"/>
    </row>
    <row r="229" ht="14.25" customHeight="1">
      <c r="A229" s="3"/>
      <c r="B229" s="3"/>
      <c r="C229" s="3"/>
      <c r="D229" s="3"/>
      <c r="E229" s="3"/>
      <c r="F229" s="3"/>
      <c r="G229" s="3"/>
      <c r="H229" s="3"/>
      <c r="I229" s="3"/>
      <c r="J229" s="3"/>
      <c r="K229" s="3"/>
    </row>
    <row r="230" ht="14.25" customHeight="1">
      <c r="A230" s="3"/>
      <c r="B230" s="3"/>
      <c r="C230" s="3"/>
      <c r="D230" s="3"/>
      <c r="E230" s="3"/>
      <c r="F230" s="3"/>
      <c r="G230" s="3"/>
      <c r="H230" s="3"/>
      <c r="I230" s="3"/>
      <c r="J230" s="3"/>
      <c r="K230" s="3"/>
    </row>
    <row r="231" ht="14.25" customHeight="1">
      <c r="A231" s="3"/>
      <c r="B231" s="3"/>
      <c r="C231" s="3"/>
      <c r="D231" s="3"/>
      <c r="E231" s="3"/>
      <c r="F231" s="3"/>
      <c r="G231" s="3"/>
      <c r="H231" s="3"/>
      <c r="I231" s="3"/>
      <c r="J231" s="3"/>
      <c r="K231" s="3"/>
    </row>
    <row r="232" ht="14.25" customHeight="1">
      <c r="A232" s="3"/>
      <c r="B232" s="3"/>
      <c r="C232" s="3"/>
      <c r="D232" s="3"/>
      <c r="E232" s="3"/>
      <c r="F232" s="3"/>
      <c r="G232" s="3"/>
      <c r="H232" s="3"/>
      <c r="I232" s="3"/>
      <c r="J232" s="3"/>
      <c r="K232" s="3"/>
    </row>
    <row r="233" ht="14.25" customHeight="1">
      <c r="A233" s="3"/>
      <c r="B233" s="3"/>
      <c r="C233" s="3"/>
      <c r="D233" s="3"/>
      <c r="E233" s="3"/>
      <c r="F233" s="3"/>
      <c r="G233" s="3"/>
      <c r="H233" s="3"/>
      <c r="I233" s="3"/>
      <c r="J233" s="3"/>
      <c r="K233" s="3"/>
    </row>
    <row r="234" ht="14.25" customHeight="1">
      <c r="A234" s="3"/>
      <c r="B234" s="3"/>
      <c r="C234" s="3"/>
      <c r="D234" s="3"/>
      <c r="E234" s="3"/>
      <c r="F234" s="3"/>
      <c r="G234" s="3"/>
      <c r="H234" s="3"/>
      <c r="I234" s="3"/>
      <c r="J234" s="3"/>
      <c r="K234" s="3"/>
    </row>
    <row r="235" ht="14.25" customHeight="1">
      <c r="A235" s="3"/>
      <c r="B235" s="3"/>
      <c r="C235" s="3"/>
      <c r="D235" s="3"/>
      <c r="E235" s="3"/>
      <c r="F235" s="3"/>
      <c r="G235" s="3"/>
      <c r="H235" s="3"/>
      <c r="I235" s="3"/>
      <c r="J235" s="3"/>
      <c r="K235" s="3"/>
    </row>
    <row r="236" ht="14.25" customHeight="1">
      <c r="A236" s="3"/>
      <c r="B236" s="3"/>
      <c r="C236" s="3"/>
      <c r="D236" s="3"/>
      <c r="E236" s="3"/>
      <c r="F236" s="3"/>
      <c r="G236" s="3"/>
      <c r="H236" s="3"/>
      <c r="I236" s="3"/>
      <c r="J236" s="3"/>
      <c r="K236" s="3"/>
    </row>
    <row r="237" ht="14.25" customHeight="1">
      <c r="A237" s="3"/>
      <c r="B237" s="3"/>
      <c r="C237" s="3"/>
      <c r="D237" s="3"/>
      <c r="E237" s="3"/>
      <c r="F237" s="3"/>
      <c r="G237" s="3"/>
      <c r="H237" s="3"/>
      <c r="I237" s="3"/>
      <c r="J237" s="3"/>
      <c r="K237" s="3"/>
    </row>
    <row r="238" ht="14.25" customHeight="1">
      <c r="A238" s="3"/>
      <c r="B238" s="3"/>
      <c r="C238" s="3"/>
      <c r="D238" s="3"/>
      <c r="E238" s="3"/>
      <c r="F238" s="3"/>
      <c r="G238" s="3"/>
      <c r="H238" s="3"/>
      <c r="I238" s="3"/>
      <c r="J238" s="3"/>
      <c r="K238" s="3"/>
    </row>
    <row r="239" ht="14.25" customHeight="1">
      <c r="A239" s="3"/>
      <c r="B239" s="3"/>
      <c r="C239" s="3"/>
      <c r="D239" s="3"/>
      <c r="E239" s="3"/>
      <c r="F239" s="3"/>
      <c r="G239" s="3"/>
      <c r="H239" s="3"/>
      <c r="I239" s="3"/>
      <c r="J239" s="3"/>
      <c r="K239" s="3"/>
    </row>
    <row r="240" ht="14.25" customHeight="1">
      <c r="A240" s="3"/>
      <c r="B240" s="3"/>
      <c r="C240" s="3"/>
      <c r="D240" s="3"/>
      <c r="E240" s="3"/>
      <c r="F240" s="3"/>
      <c r="G240" s="3"/>
      <c r="H240" s="3"/>
      <c r="I240" s="3"/>
      <c r="J240" s="3"/>
      <c r="K240" s="3"/>
    </row>
    <row r="241" ht="14.25" customHeight="1">
      <c r="A241" s="3"/>
      <c r="B241" s="3"/>
      <c r="C241" s="3"/>
      <c r="D241" s="3"/>
      <c r="E241" s="3"/>
      <c r="F241" s="3"/>
      <c r="G241" s="3"/>
      <c r="H241" s="3"/>
      <c r="I241" s="3"/>
      <c r="J241" s="3"/>
      <c r="K241" s="3"/>
    </row>
    <row r="242" ht="14.25" customHeight="1">
      <c r="A242" s="3"/>
      <c r="B242" s="3"/>
      <c r="C242" s="3"/>
      <c r="D242" s="3"/>
      <c r="E242" s="3"/>
      <c r="F242" s="3"/>
      <c r="G242" s="3"/>
      <c r="H242" s="3"/>
      <c r="I242" s="3"/>
      <c r="J242" s="3"/>
      <c r="K242" s="3"/>
    </row>
    <row r="243" ht="14.25" customHeight="1">
      <c r="A243" s="3"/>
      <c r="B243" s="3"/>
      <c r="C243" s="3"/>
      <c r="D243" s="3"/>
      <c r="E243" s="3"/>
      <c r="F243" s="3"/>
      <c r="G243" s="3"/>
      <c r="H243" s="3"/>
      <c r="I243" s="3"/>
      <c r="J243" s="3"/>
      <c r="K243" s="3"/>
    </row>
    <row r="244" ht="14.25" customHeight="1">
      <c r="A244" s="3"/>
      <c r="B244" s="3"/>
      <c r="C244" s="3"/>
      <c r="D244" s="3"/>
      <c r="E244" s="3"/>
      <c r="F244" s="3"/>
      <c r="G244" s="3"/>
      <c r="H244" s="3"/>
      <c r="I244" s="3"/>
      <c r="J244" s="3"/>
      <c r="K244" s="3"/>
    </row>
    <row r="245" ht="14.25" customHeight="1">
      <c r="A245" s="3"/>
      <c r="B245" s="3"/>
      <c r="C245" s="3"/>
      <c r="D245" s="3"/>
      <c r="E245" s="3"/>
      <c r="F245" s="3"/>
      <c r="G245" s="3"/>
      <c r="H245" s="3"/>
      <c r="I245" s="3"/>
      <c r="J245" s="3"/>
      <c r="K245" s="3"/>
    </row>
    <row r="246" ht="14.25" customHeight="1">
      <c r="A246" s="3"/>
      <c r="B246" s="3"/>
      <c r="C246" s="3"/>
      <c r="D246" s="3"/>
      <c r="E246" s="3"/>
      <c r="F246" s="3"/>
      <c r="G246" s="3"/>
      <c r="H246" s="3"/>
      <c r="I246" s="3"/>
      <c r="J246" s="3"/>
      <c r="K246" s="3"/>
    </row>
    <row r="247" ht="14.25" customHeight="1">
      <c r="A247" s="3"/>
      <c r="B247" s="3"/>
      <c r="C247" s="3"/>
      <c r="D247" s="3"/>
      <c r="E247" s="3"/>
      <c r="F247" s="3"/>
      <c r="G247" s="3"/>
      <c r="H247" s="3"/>
      <c r="I247" s="3"/>
      <c r="J247" s="3"/>
      <c r="K247" s="3"/>
    </row>
    <row r="248" ht="14.25" customHeight="1">
      <c r="A248" s="3"/>
      <c r="B248" s="3"/>
      <c r="C248" s="3"/>
      <c r="D248" s="3"/>
      <c r="E248" s="3"/>
      <c r="F248" s="3"/>
      <c r="G248" s="3"/>
      <c r="H248" s="3"/>
      <c r="I248" s="3"/>
      <c r="J248" s="3"/>
      <c r="K248" s="3"/>
    </row>
    <row r="249" ht="14.25" customHeight="1">
      <c r="A249" s="3"/>
      <c r="B249" s="3"/>
      <c r="C249" s="3"/>
      <c r="D249" s="3"/>
      <c r="E249" s="3"/>
      <c r="F249" s="3"/>
      <c r="G249" s="3"/>
      <c r="H249" s="3"/>
      <c r="I249" s="3"/>
      <c r="J249" s="3"/>
      <c r="K249" s="3"/>
    </row>
    <row r="250" ht="14.25" customHeight="1">
      <c r="A250" s="3"/>
      <c r="B250" s="3"/>
      <c r="C250" s="3"/>
      <c r="D250" s="3"/>
      <c r="E250" s="3"/>
      <c r="F250" s="3"/>
      <c r="G250" s="3"/>
      <c r="H250" s="3"/>
      <c r="I250" s="3"/>
      <c r="J250" s="3"/>
      <c r="K250" s="3"/>
    </row>
    <row r="251" ht="14.25" customHeight="1">
      <c r="A251" s="3"/>
      <c r="B251" s="3"/>
      <c r="C251" s="3"/>
      <c r="D251" s="3"/>
      <c r="E251" s="3"/>
      <c r="F251" s="3"/>
      <c r="G251" s="3"/>
      <c r="H251" s="3"/>
      <c r="I251" s="3"/>
      <c r="J251" s="3"/>
      <c r="K251" s="3"/>
    </row>
    <row r="252" ht="14.25" customHeight="1">
      <c r="A252" s="3"/>
      <c r="B252" s="3"/>
      <c r="C252" s="3"/>
      <c r="D252" s="3"/>
      <c r="E252" s="3"/>
      <c r="F252" s="3"/>
      <c r="G252" s="3"/>
      <c r="H252" s="3"/>
      <c r="I252" s="3"/>
      <c r="J252" s="3"/>
      <c r="K252" s="3"/>
    </row>
    <row r="253" ht="14.25" customHeight="1">
      <c r="A253" s="3"/>
      <c r="B253" s="3"/>
      <c r="C253" s="3"/>
      <c r="D253" s="3"/>
      <c r="E253" s="3"/>
      <c r="F253" s="3"/>
      <c r="G253" s="3"/>
      <c r="H253" s="3"/>
      <c r="I253" s="3"/>
      <c r="J253" s="3"/>
      <c r="K253" s="3"/>
    </row>
    <row r="254" ht="14.25" customHeight="1">
      <c r="A254" s="3"/>
      <c r="B254" s="3"/>
      <c r="C254" s="3"/>
      <c r="D254" s="3"/>
      <c r="E254" s="3"/>
      <c r="F254" s="3"/>
      <c r="G254" s="3"/>
      <c r="H254" s="3"/>
      <c r="I254" s="3"/>
      <c r="J254" s="3"/>
      <c r="K254" s="3"/>
    </row>
    <row r="255" ht="14.25" customHeight="1">
      <c r="A255" s="3"/>
      <c r="B255" s="3"/>
      <c r="C255" s="3"/>
      <c r="D255" s="3"/>
      <c r="E255" s="3"/>
      <c r="F255" s="3"/>
      <c r="G255" s="3"/>
      <c r="H255" s="3"/>
      <c r="I255" s="3"/>
      <c r="J255" s="3"/>
      <c r="K255" s="3"/>
    </row>
    <row r="256" ht="14.25" customHeight="1">
      <c r="A256" s="3"/>
      <c r="B256" s="3"/>
      <c r="C256" s="3"/>
      <c r="D256" s="3"/>
      <c r="E256" s="3"/>
      <c r="F256" s="3"/>
      <c r="G256" s="3"/>
      <c r="H256" s="3"/>
      <c r="I256" s="3"/>
      <c r="J256" s="3"/>
      <c r="K256" s="3"/>
    </row>
    <row r="257" ht="14.25" customHeight="1">
      <c r="A257" s="3"/>
      <c r="B257" s="3"/>
      <c r="C257" s="3"/>
      <c r="D257" s="3"/>
      <c r="E257" s="3"/>
      <c r="F257" s="3"/>
      <c r="G257" s="3"/>
      <c r="H257" s="3"/>
      <c r="I257" s="3"/>
      <c r="J257" s="3"/>
      <c r="K257" s="3"/>
    </row>
    <row r="258" ht="14.25" customHeight="1">
      <c r="A258" s="3"/>
      <c r="B258" s="3"/>
      <c r="C258" s="3"/>
      <c r="D258" s="3"/>
      <c r="E258" s="3"/>
      <c r="F258" s="3"/>
      <c r="G258" s="3"/>
      <c r="H258" s="3"/>
      <c r="I258" s="3"/>
      <c r="J258" s="3"/>
      <c r="K258" s="3"/>
    </row>
    <row r="259" ht="14.25" customHeight="1">
      <c r="A259" s="3"/>
      <c r="B259" s="3"/>
      <c r="C259" s="3"/>
      <c r="D259" s="3"/>
      <c r="E259" s="3"/>
      <c r="F259" s="3"/>
      <c r="G259" s="3"/>
      <c r="H259" s="3"/>
      <c r="I259" s="3"/>
      <c r="J259" s="3"/>
      <c r="K259" s="3"/>
    </row>
    <row r="260" ht="14.25" customHeight="1">
      <c r="A260" s="3"/>
      <c r="B260" s="3"/>
      <c r="C260" s="3"/>
      <c r="D260" s="3"/>
      <c r="E260" s="3"/>
      <c r="F260" s="3"/>
      <c r="G260" s="3"/>
      <c r="H260" s="3"/>
      <c r="I260" s="3"/>
      <c r="J260" s="3"/>
      <c r="K260" s="3"/>
    </row>
    <row r="261" ht="14.25" customHeight="1">
      <c r="A261" s="3"/>
      <c r="B261" s="3"/>
      <c r="C261" s="3"/>
      <c r="D261" s="3"/>
      <c r="E261" s="3"/>
      <c r="F261" s="3"/>
      <c r="G261" s="3"/>
      <c r="H261" s="3"/>
      <c r="I261" s="3"/>
      <c r="J261" s="3"/>
      <c r="K261" s="3"/>
    </row>
    <row r="262" ht="14.25" customHeight="1">
      <c r="A262" s="3"/>
      <c r="B262" s="3"/>
      <c r="C262" s="3"/>
      <c r="D262" s="3"/>
      <c r="E262" s="3"/>
      <c r="F262" s="3"/>
      <c r="G262" s="3"/>
      <c r="H262" s="3"/>
      <c r="I262" s="3"/>
      <c r="J262" s="3"/>
      <c r="K262" s="3"/>
    </row>
    <row r="263" ht="14.25" customHeight="1">
      <c r="A263" s="3"/>
      <c r="B263" s="3"/>
      <c r="C263" s="3"/>
      <c r="D263" s="3"/>
      <c r="E263" s="3"/>
      <c r="F263" s="3"/>
      <c r="G263" s="3"/>
      <c r="H263" s="3"/>
      <c r="I263" s="3"/>
      <c r="J263" s="3"/>
      <c r="K263" s="3"/>
    </row>
    <row r="264" ht="14.25" customHeight="1">
      <c r="A264" s="3"/>
      <c r="B264" s="3"/>
      <c r="C264" s="3"/>
      <c r="D264" s="3"/>
      <c r="E264" s="3"/>
      <c r="F264" s="3"/>
      <c r="G264" s="3"/>
      <c r="H264" s="3"/>
      <c r="I264" s="3"/>
      <c r="J264" s="3"/>
      <c r="K264" s="3"/>
    </row>
    <row r="265" ht="14.25" customHeight="1">
      <c r="A265" s="3"/>
      <c r="B265" s="3"/>
      <c r="C265" s="3"/>
      <c r="D265" s="3"/>
      <c r="E265" s="3"/>
      <c r="F265" s="3"/>
      <c r="G265" s="3"/>
      <c r="H265" s="3"/>
      <c r="I265" s="3"/>
      <c r="J265" s="3"/>
      <c r="K265" s="3"/>
    </row>
    <row r="266" ht="14.25" customHeight="1">
      <c r="A266" s="3"/>
      <c r="B266" s="3"/>
      <c r="C266" s="3"/>
      <c r="D266" s="3"/>
      <c r="E266" s="3"/>
      <c r="F266" s="3"/>
      <c r="G266" s="3"/>
      <c r="H266" s="3"/>
      <c r="I266" s="3"/>
      <c r="J266" s="3"/>
      <c r="K266" s="3"/>
    </row>
    <row r="267" ht="14.25" customHeight="1">
      <c r="A267" s="3"/>
      <c r="B267" s="3"/>
      <c r="C267" s="3"/>
      <c r="D267" s="3"/>
      <c r="E267" s="3"/>
      <c r="F267" s="3"/>
      <c r="G267" s="3"/>
      <c r="H267" s="3"/>
      <c r="I267" s="3"/>
      <c r="J267" s="3"/>
      <c r="K267" s="3"/>
    </row>
    <row r="268" ht="14.25" customHeight="1">
      <c r="A268" s="3"/>
      <c r="B268" s="3"/>
      <c r="C268" s="3"/>
      <c r="D268" s="3"/>
      <c r="E268" s="3"/>
      <c r="F268" s="3"/>
      <c r="G268" s="3"/>
      <c r="H268" s="3"/>
      <c r="I268" s="3"/>
      <c r="J268" s="3"/>
      <c r="K268" s="3"/>
    </row>
    <row r="269" ht="14.25" customHeight="1">
      <c r="A269" s="3"/>
      <c r="B269" s="3"/>
      <c r="C269" s="3"/>
      <c r="D269" s="3"/>
      <c r="E269" s="3"/>
      <c r="F269" s="3"/>
      <c r="G269" s="3"/>
      <c r="H269" s="3"/>
      <c r="I269" s="3"/>
      <c r="J269" s="3"/>
      <c r="K269" s="3"/>
    </row>
    <row r="270" ht="14.25" customHeight="1">
      <c r="A270" s="3"/>
      <c r="B270" s="3"/>
      <c r="C270" s="3"/>
      <c r="D270" s="3"/>
      <c r="E270" s="3"/>
      <c r="F270" s="3"/>
      <c r="G270" s="3"/>
      <c r="H270" s="3"/>
      <c r="I270" s="3"/>
      <c r="J270" s="3"/>
      <c r="K270" s="3"/>
    </row>
    <row r="271" ht="14.25" customHeight="1">
      <c r="A271" s="3"/>
      <c r="B271" s="3"/>
      <c r="C271" s="3"/>
      <c r="D271" s="3"/>
      <c r="E271" s="3"/>
      <c r="F271" s="3"/>
      <c r="G271" s="3"/>
      <c r="H271" s="3"/>
      <c r="I271" s="3"/>
      <c r="J271" s="3"/>
      <c r="K271" s="3"/>
    </row>
    <row r="272" ht="14.25" customHeight="1">
      <c r="A272" s="3"/>
      <c r="B272" s="3"/>
      <c r="C272" s="3"/>
      <c r="D272" s="3"/>
      <c r="E272" s="3"/>
      <c r="F272" s="3"/>
      <c r="G272" s="3"/>
      <c r="H272" s="3"/>
      <c r="I272" s="3"/>
      <c r="J272" s="3"/>
      <c r="K272" s="3"/>
    </row>
    <row r="273" ht="14.25" customHeight="1">
      <c r="A273" s="3"/>
      <c r="B273" s="3"/>
      <c r="C273" s="3"/>
      <c r="D273" s="3"/>
      <c r="E273" s="3"/>
      <c r="F273" s="3"/>
      <c r="G273" s="3"/>
      <c r="H273" s="3"/>
      <c r="I273" s="3"/>
      <c r="J273" s="3"/>
      <c r="K273" s="3"/>
    </row>
    <row r="274" ht="14.25" customHeight="1">
      <c r="A274" s="3"/>
      <c r="B274" s="3"/>
      <c r="C274" s="3"/>
      <c r="D274" s="3"/>
      <c r="E274" s="3"/>
      <c r="F274" s="3"/>
      <c r="G274" s="3"/>
      <c r="H274" s="3"/>
      <c r="I274" s="3"/>
      <c r="J274" s="3"/>
      <c r="K274" s="3"/>
    </row>
    <row r="275" ht="14.25" customHeight="1">
      <c r="A275" s="3"/>
      <c r="B275" s="3"/>
      <c r="C275" s="3"/>
      <c r="D275" s="3"/>
      <c r="E275" s="3"/>
      <c r="F275" s="3"/>
      <c r="G275" s="3"/>
      <c r="H275" s="3"/>
      <c r="I275" s="3"/>
      <c r="J275" s="3"/>
      <c r="K275" s="3"/>
    </row>
    <row r="276" ht="14.25" customHeight="1">
      <c r="A276" s="3"/>
      <c r="B276" s="3"/>
      <c r="C276" s="3"/>
      <c r="D276" s="3"/>
      <c r="E276" s="3"/>
      <c r="F276" s="3"/>
      <c r="G276" s="3"/>
      <c r="H276" s="3"/>
      <c r="I276" s="3"/>
      <c r="J276" s="3"/>
      <c r="K276" s="3"/>
    </row>
    <row r="277" ht="14.25" customHeight="1">
      <c r="A277" s="3"/>
      <c r="B277" s="3"/>
      <c r="C277" s="3"/>
      <c r="D277" s="3"/>
      <c r="E277" s="3"/>
      <c r="F277" s="3"/>
      <c r="G277" s="3"/>
      <c r="H277" s="3"/>
      <c r="I277" s="3"/>
      <c r="J277" s="3"/>
      <c r="K277" s="3"/>
    </row>
    <row r="278" ht="14.25" customHeight="1">
      <c r="A278" s="3"/>
      <c r="B278" s="3"/>
      <c r="C278" s="3"/>
      <c r="D278" s="3"/>
      <c r="E278" s="3"/>
      <c r="F278" s="3"/>
      <c r="G278" s="3"/>
      <c r="H278" s="3"/>
      <c r="I278" s="3"/>
      <c r="J278" s="3"/>
      <c r="K278" s="3"/>
    </row>
    <row r="279" ht="14.25" customHeight="1">
      <c r="A279" s="3"/>
      <c r="B279" s="3"/>
      <c r="C279" s="3"/>
      <c r="D279" s="3"/>
      <c r="E279" s="3"/>
      <c r="F279" s="3"/>
      <c r="G279" s="3"/>
      <c r="H279" s="3"/>
      <c r="I279" s="3"/>
      <c r="J279" s="3"/>
      <c r="K279" s="3"/>
    </row>
    <row r="280" ht="14.25" customHeight="1">
      <c r="A280" s="3"/>
      <c r="B280" s="3"/>
      <c r="C280" s="3"/>
      <c r="D280" s="3"/>
      <c r="E280" s="3"/>
      <c r="F280" s="3"/>
      <c r="G280" s="3"/>
      <c r="H280" s="3"/>
      <c r="I280" s="3"/>
      <c r="J280" s="3"/>
      <c r="K280" s="3"/>
    </row>
    <row r="281" ht="14.25" customHeight="1">
      <c r="A281" s="3"/>
      <c r="B281" s="3"/>
      <c r="C281" s="3"/>
      <c r="D281" s="3"/>
      <c r="E281" s="3"/>
      <c r="F281" s="3"/>
      <c r="G281" s="3"/>
      <c r="H281" s="3"/>
      <c r="I281" s="3"/>
      <c r="J281" s="3"/>
      <c r="K281" s="3"/>
    </row>
    <row r="282" ht="14.25" customHeight="1">
      <c r="A282" s="3"/>
      <c r="B282" s="3"/>
      <c r="C282" s="3"/>
      <c r="D282" s="3"/>
      <c r="E282" s="3"/>
      <c r="F282" s="3"/>
      <c r="G282" s="3"/>
      <c r="H282" s="3"/>
      <c r="I282" s="3"/>
      <c r="J282" s="3"/>
      <c r="K282" s="3"/>
    </row>
    <row r="283" ht="14.25" customHeight="1">
      <c r="A283" s="3"/>
      <c r="B283" s="3"/>
      <c r="C283" s="3"/>
      <c r="D283" s="3"/>
      <c r="E283" s="3"/>
      <c r="F283" s="3"/>
      <c r="G283" s="3"/>
      <c r="H283" s="3"/>
      <c r="I283" s="3"/>
      <c r="J283" s="3"/>
      <c r="K283" s="3"/>
    </row>
    <row r="284" ht="14.25" customHeight="1">
      <c r="A284" s="3"/>
      <c r="B284" s="3"/>
      <c r="C284" s="3"/>
      <c r="D284" s="3"/>
      <c r="E284" s="3"/>
      <c r="F284" s="3"/>
      <c r="G284" s="3"/>
      <c r="H284" s="3"/>
      <c r="I284" s="3"/>
      <c r="J284" s="3"/>
      <c r="K284" s="3"/>
    </row>
    <row r="285" ht="14.25" customHeight="1">
      <c r="A285" s="3"/>
      <c r="B285" s="3"/>
      <c r="C285" s="3"/>
      <c r="D285" s="3"/>
      <c r="E285" s="3"/>
      <c r="F285" s="3"/>
      <c r="G285" s="3"/>
      <c r="H285" s="3"/>
      <c r="I285" s="3"/>
      <c r="J285" s="3"/>
      <c r="K285" s="3"/>
    </row>
    <row r="286" ht="14.25" customHeight="1">
      <c r="A286" s="3"/>
      <c r="B286" s="3"/>
      <c r="C286" s="3"/>
      <c r="D286" s="3"/>
      <c r="E286" s="3"/>
      <c r="F286" s="3"/>
      <c r="G286" s="3"/>
      <c r="H286" s="3"/>
      <c r="I286" s="3"/>
      <c r="J286" s="3"/>
      <c r="K286" s="3"/>
    </row>
    <row r="287" ht="14.25" customHeight="1">
      <c r="A287" s="3"/>
      <c r="B287" s="3"/>
      <c r="C287" s="3"/>
      <c r="D287" s="3"/>
      <c r="E287" s="3"/>
      <c r="F287" s="3"/>
      <c r="G287" s="3"/>
      <c r="H287" s="3"/>
      <c r="I287" s="3"/>
      <c r="J287" s="3"/>
      <c r="K287" s="3"/>
    </row>
    <row r="288" ht="14.25" customHeight="1">
      <c r="A288" s="3"/>
      <c r="B288" s="3"/>
      <c r="C288" s="3"/>
      <c r="D288" s="3"/>
      <c r="E288" s="3"/>
      <c r="F288" s="3"/>
      <c r="G288" s="3"/>
      <c r="H288" s="3"/>
      <c r="I288" s="3"/>
      <c r="J288" s="3"/>
      <c r="K288" s="3"/>
    </row>
    <row r="289" ht="14.25" customHeight="1">
      <c r="A289" s="3"/>
      <c r="B289" s="3"/>
      <c r="C289" s="3"/>
      <c r="D289" s="3"/>
      <c r="E289" s="3"/>
      <c r="F289" s="3"/>
      <c r="G289" s="3"/>
      <c r="H289" s="3"/>
      <c r="I289" s="3"/>
      <c r="J289" s="3"/>
      <c r="K289" s="3"/>
    </row>
    <row r="290" ht="14.25" customHeight="1">
      <c r="A290" s="3"/>
      <c r="B290" s="3"/>
      <c r="C290" s="3"/>
      <c r="D290" s="3"/>
      <c r="E290" s="3"/>
      <c r="F290" s="3"/>
      <c r="G290" s="3"/>
      <c r="H290" s="3"/>
      <c r="I290" s="3"/>
      <c r="J290" s="3"/>
      <c r="K290" s="3"/>
    </row>
    <row r="291" ht="14.25" customHeight="1">
      <c r="A291" s="3"/>
      <c r="B291" s="3"/>
      <c r="C291" s="3"/>
      <c r="D291" s="3"/>
      <c r="E291" s="3"/>
      <c r="F291" s="3"/>
      <c r="G291" s="3"/>
      <c r="H291" s="3"/>
      <c r="I291" s="3"/>
      <c r="J291" s="3"/>
      <c r="K291" s="3"/>
    </row>
    <row r="292" ht="14.25" customHeight="1">
      <c r="A292" s="3"/>
      <c r="B292" s="3"/>
      <c r="C292" s="3"/>
      <c r="D292" s="3"/>
      <c r="E292" s="3"/>
      <c r="F292" s="3"/>
      <c r="G292" s="3"/>
      <c r="H292" s="3"/>
      <c r="I292" s="3"/>
      <c r="J292" s="3"/>
      <c r="K292" s="3"/>
    </row>
    <row r="293" ht="14.25" customHeight="1">
      <c r="A293" s="3"/>
      <c r="B293" s="3"/>
      <c r="C293" s="3"/>
      <c r="D293" s="3"/>
      <c r="E293" s="3"/>
      <c r="F293" s="3"/>
      <c r="G293" s="3"/>
      <c r="H293" s="3"/>
      <c r="I293" s="3"/>
      <c r="J293" s="3"/>
      <c r="K293" s="3"/>
    </row>
    <row r="294" ht="14.25" customHeight="1">
      <c r="A294" s="3"/>
      <c r="B294" s="3"/>
      <c r="C294" s="3"/>
      <c r="D294" s="3"/>
      <c r="E294" s="3"/>
      <c r="F294" s="3"/>
      <c r="G294" s="3"/>
      <c r="H294" s="3"/>
      <c r="I294" s="3"/>
      <c r="J294" s="3"/>
      <c r="K294" s="3"/>
    </row>
    <row r="295" ht="14.25" customHeight="1">
      <c r="A295" s="3"/>
      <c r="B295" s="3"/>
      <c r="C295" s="3"/>
      <c r="D295" s="3"/>
      <c r="E295" s="3"/>
      <c r="F295" s="3"/>
      <c r="G295" s="3"/>
      <c r="H295" s="3"/>
      <c r="I295" s="3"/>
      <c r="J295" s="3"/>
      <c r="K295" s="3"/>
    </row>
    <row r="296" ht="14.25" customHeight="1">
      <c r="A296" s="3"/>
      <c r="B296" s="3"/>
      <c r="C296" s="3"/>
      <c r="D296" s="3"/>
      <c r="E296" s="3"/>
      <c r="F296" s="3"/>
      <c r="G296" s="3"/>
      <c r="H296" s="3"/>
      <c r="I296" s="3"/>
      <c r="J296" s="3"/>
      <c r="K296" s="3"/>
    </row>
    <row r="297" ht="14.25" customHeight="1">
      <c r="A297" s="3"/>
      <c r="B297" s="3"/>
      <c r="C297" s="3"/>
      <c r="D297" s="3"/>
      <c r="E297" s="3"/>
      <c r="F297" s="3"/>
      <c r="G297" s="3"/>
      <c r="H297" s="3"/>
      <c r="I297" s="3"/>
      <c r="J297" s="3"/>
      <c r="K297" s="3"/>
    </row>
    <row r="298" ht="14.25" customHeight="1">
      <c r="A298" s="3"/>
      <c r="B298" s="3"/>
      <c r="C298" s="3"/>
      <c r="D298" s="3"/>
      <c r="E298" s="3"/>
      <c r="F298" s="3"/>
      <c r="G298" s="3"/>
      <c r="H298" s="3"/>
      <c r="I298" s="3"/>
      <c r="J298" s="3"/>
      <c r="K298" s="3"/>
    </row>
    <row r="299" ht="14.25" customHeight="1">
      <c r="A299" s="3"/>
      <c r="B299" s="3"/>
      <c r="C299" s="3"/>
      <c r="D299" s="3"/>
      <c r="E299" s="3"/>
      <c r="F299" s="3"/>
      <c r="G299" s="3"/>
      <c r="H299" s="3"/>
      <c r="I299" s="3"/>
      <c r="J299" s="3"/>
      <c r="K299" s="3"/>
    </row>
    <row r="300" ht="14.25" customHeight="1">
      <c r="A300" s="3"/>
      <c r="B300" s="3"/>
      <c r="C300" s="3"/>
      <c r="D300" s="3"/>
      <c r="E300" s="3"/>
      <c r="F300" s="3"/>
      <c r="G300" s="3"/>
      <c r="H300" s="3"/>
      <c r="I300" s="3"/>
      <c r="J300" s="3"/>
      <c r="K300" s="3"/>
    </row>
    <row r="301" ht="14.25" customHeight="1">
      <c r="A301" s="3"/>
      <c r="B301" s="3"/>
      <c r="C301" s="3"/>
      <c r="D301" s="3"/>
      <c r="E301" s="3"/>
      <c r="F301" s="3"/>
      <c r="G301" s="3"/>
      <c r="H301" s="3"/>
      <c r="I301" s="3"/>
      <c r="J301" s="3"/>
      <c r="K301" s="3"/>
    </row>
    <row r="302" ht="14.25" customHeight="1">
      <c r="A302" s="3"/>
      <c r="B302" s="3"/>
      <c r="C302" s="3"/>
      <c r="D302" s="3"/>
      <c r="E302" s="3"/>
      <c r="F302" s="3"/>
      <c r="G302" s="3"/>
      <c r="H302" s="3"/>
      <c r="I302" s="3"/>
      <c r="J302" s="3"/>
      <c r="K302" s="3"/>
    </row>
    <row r="303" ht="14.25" customHeight="1">
      <c r="A303" s="3"/>
      <c r="B303" s="3"/>
      <c r="C303" s="3"/>
      <c r="D303" s="3"/>
      <c r="E303" s="3"/>
      <c r="F303" s="3"/>
      <c r="G303" s="3"/>
      <c r="H303" s="3"/>
      <c r="I303" s="3"/>
      <c r="J303" s="3"/>
      <c r="K303" s="3"/>
    </row>
    <row r="304" ht="14.25" customHeight="1">
      <c r="A304" s="3"/>
      <c r="B304" s="3"/>
      <c r="C304" s="3"/>
      <c r="D304" s="3"/>
      <c r="E304" s="3"/>
      <c r="F304" s="3"/>
      <c r="G304" s="3"/>
      <c r="H304" s="3"/>
      <c r="I304" s="3"/>
      <c r="J304" s="3"/>
      <c r="K304" s="3"/>
    </row>
    <row r="305" ht="14.25" customHeight="1">
      <c r="A305" s="3"/>
      <c r="B305" s="3"/>
      <c r="C305" s="3"/>
      <c r="D305" s="3"/>
      <c r="E305" s="3"/>
      <c r="F305" s="3"/>
      <c r="G305" s="3"/>
      <c r="H305" s="3"/>
      <c r="I305" s="3"/>
      <c r="J305" s="3"/>
      <c r="K305" s="3"/>
    </row>
    <row r="306" ht="14.25" customHeight="1">
      <c r="A306" s="3"/>
      <c r="B306" s="3"/>
      <c r="C306" s="3"/>
      <c r="D306" s="3"/>
      <c r="E306" s="3"/>
      <c r="F306" s="3"/>
      <c r="G306" s="3"/>
      <c r="H306" s="3"/>
      <c r="I306" s="3"/>
      <c r="J306" s="3"/>
      <c r="K306" s="3"/>
    </row>
    <row r="307" ht="14.25" customHeight="1">
      <c r="A307" s="3"/>
      <c r="B307" s="3"/>
      <c r="C307" s="3"/>
      <c r="D307" s="3"/>
      <c r="E307" s="3"/>
      <c r="F307" s="3"/>
      <c r="G307" s="3"/>
      <c r="H307" s="3"/>
      <c r="I307" s="3"/>
      <c r="J307" s="3"/>
      <c r="K307" s="3"/>
    </row>
    <row r="308" ht="14.25" customHeight="1">
      <c r="A308" s="3"/>
      <c r="B308" s="3"/>
      <c r="C308" s="3"/>
      <c r="D308" s="3"/>
      <c r="E308" s="3"/>
      <c r="F308" s="3"/>
      <c r="G308" s="3"/>
      <c r="H308" s="3"/>
      <c r="I308" s="3"/>
      <c r="J308" s="3"/>
      <c r="K308" s="3"/>
    </row>
    <row r="309" ht="14.25" customHeight="1">
      <c r="A309" s="3"/>
      <c r="B309" s="3"/>
      <c r="C309" s="3"/>
      <c r="D309" s="3"/>
      <c r="E309" s="3"/>
      <c r="F309" s="3"/>
      <c r="G309" s="3"/>
      <c r="H309" s="3"/>
      <c r="I309" s="3"/>
      <c r="J309" s="3"/>
      <c r="K309" s="3"/>
    </row>
    <row r="310" ht="14.25" customHeight="1">
      <c r="A310" s="3"/>
      <c r="B310" s="3"/>
      <c r="C310" s="3"/>
      <c r="D310" s="3"/>
      <c r="E310" s="3"/>
      <c r="F310" s="3"/>
      <c r="G310" s="3"/>
      <c r="H310" s="3"/>
      <c r="I310" s="3"/>
      <c r="J310" s="3"/>
      <c r="K310" s="3"/>
    </row>
    <row r="311" ht="14.25" customHeight="1">
      <c r="A311" s="3"/>
      <c r="B311" s="3"/>
      <c r="C311" s="3"/>
      <c r="D311" s="3"/>
      <c r="E311" s="3"/>
      <c r="F311" s="3"/>
      <c r="G311" s="3"/>
      <c r="H311" s="3"/>
      <c r="I311" s="3"/>
      <c r="J311" s="3"/>
      <c r="K311" s="3"/>
    </row>
    <row r="312" ht="14.25" customHeight="1">
      <c r="A312" s="3"/>
      <c r="B312" s="3"/>
      <c r="C312" s="3"/>
      <c r="D312" s="3"/>
      <c r="E312" s="3"/>
      <c r="F312" s="3"/>
      <c r="G312" s="3"/>
      <c r="H312" s="3"/>
      <c r="I312" s="3"/>
      <c r="J312" s="3"/>
      <c r="K312" s="3"/>
    </row>
    <row r="313" ht="14.25" customHeight="1">
      <c r="A313" s="3"/>
      <c r="B313" s="3"/>
      <c r="C313" s="3"/>
      <c r="D313" s="3"/>
      <c r="E313" s="3"/>
      <c r="F313" s="3"/>
      <c r="G313" s="3"/>
      <c r="H313" s="3"/>
      <c r="I313" s="3"/>
      <c r="J313" s="3"/>
      <c r="K313" s="3"/>
    </row>
    <row r="314" ht="14.25" customHeight="1">
      <c r="A314" s="3"/>
      <c r="B314" s="3"/>
      <c r="C314" s="3"/>
      <c r="D314" s="3"/>
      <c r="E314" s="3"/>
      <c r="F314" s="3"/>
      <c r="G314" s="3"/>
      <c r="H314" s="3"/>
      <c r="I314" s="3"/>
      <c r="J314" s="3"/>
      <c r="K314" s="3"/>
    </row>
    <row r="315" ht="14.25" customHeight="1">
      <c r="A315" s="3"/>
      <c r="B315" s="3"/>
      <c r="C315" s="3"/>
      <c r="D315" s="3"/>
      <c r="E315" s="3"/>
      <c r="F315" s="3"/>
      <c r="G315" s="3"/>
      <c r="H315" s="3"/>
      <c r="I315" s="3"/>
      <c r="J315" s="3"/>
      <c r="K315" s="3"/>
    </row>
    <row r="316" ht="14.25" customHeight="1">
      <c r="A316" s="3"/>
      <c r="B316" s="3"/>
      <c r="C316" s="3"/>
      <c r="D316" s="3"/>
      <c r="E316" s="3"/>
      <c r="F316" s="3"/>
      <c r="G316" s="3"/>
      <c r="H316" s="3"/>
      <c r="I316" s="3"/>
      <c r="J316" s="3"/>
      <c r="K316" s="3"/>
    </row>
    <row r="317" ht="14.25" customHeight="1">
      <c r="A317" s="3"/>
      <c r="B317" s="3"/>
      <c r="C317" s="3"/>
      <c r="D317" s="3"/>
      <c r="E317" s="3"/>
      <c r="F317" s="3"/>
      <c r="G317" s="3"/>
      <c r="H317" s="3"/>
      <c r="I317" s="3"/>
      <c r="J317" s="3"/>
      <c r="K317" s="3"/>
    </row>
    <row r="318" ht="14.25" customHeight="1">
      <c r="A318" s="3"/>
      <c r="B318" s="3"/>
      <c r="C318" s="3"/>
      <c r="D318" s="3"/>
      <c r="E318" s="3"/>
      <c r="F318" s="3"/>
      <c r="G318" s="3"/>
      <c r="H318" s="3"/>
      <c r="I318" s="3"/>
      <c r="J318" s="3"/>
      <c r="K318" s="3"/>
    </row>
    <row r="319" ht="14.25" customHeight="1">
      <c r="A319" s="3"/>
      <c r="B319" s="3"/>
      <c r="C319" s="3"/>
      <c r="D319" s="3"/>
      <c r="E319" s="3"/>
      <c r="F319" s="3"/>
      <c r="G319" s="3"/>
      <c r="H319" s="3"/>
      <c r="I319" s="3"/>
      <c r="J319" s="3"/>
      <c r="K319" s="3"/>
    </row>
    <row r="320" ht="14.25" customHeight="1">
      <c r="A320" s="3"/>
      <c r="B320" s="3"/>
      <c r="C320" s="3"/>
      <c r="D320" s="3"/>
      <c r="E320" s="3"/>
      <c r="F320" s="3"/>
      <c r="G320" s="3"/>
      <c r="H320" s="3"/>
      <c r="I320" s="3"/>
      <c r="J320" s="3"/>
      <c r="K320" s="3"/>
    </row>
    <row r="321" ht="14.25" customHeight="1">
      <c r="A321" s="3"/>
      <c r="B321" s="3"/>
      <c r="C321" s="3"/>
      <c r="D321" s="3"/>
      <c r="E321" s="3"/>
      <c r="F321" s="3"/>
      <c r="G321" s="3"/>
      <c r="H321" s="3"/>
      <c r="I321" s="3"/>
      <c r="J321" s="3"/>
      <c r="K321" s="3"/>
    </row>
    <row r="322" ht="14.25" customHeight="1">
      <c r="A322" s="3"/>
      <c r="B322" s="3"/>
      <c r="C322" s="3"/>
      <c r="D322" s="3"/>
      <c r="E322" s="3"/>
      <c r="F322" s="3"/>
      <c r="G322" s="3"/>
      <c r="H322" s="3"/>
      <c r="I322" s="3"/>
      <c r="J322" s="3"/>
      <c r="K322" s="3"/>
    </row>
    <row r="323" ht="14.25" customHeight="1">
      <c r="A323" s="3"/>
      <c r="B323" s="3"/>
      <c r="C323" s="3"/>
      <c r="D323" s="3"/>
      <c r="E323" s="3"/>
      <c r="F323" s="3"/>
      <c r="G323" s="3"/>
      <c r="H323" s="3"/>
      <c r="I323" s="3"/>
      <c r="J323" s="3"/>
      <c r="K323" s="3"/>
    </row>
    <row r="324" ht="14.25" customHeight="1">
      <c r="A324" s="3"/>
      <c r="B324" s="3"/>
      <c r="C324" s="3"/>
      <c r="D324" s="3"/>
      <c r="E324" s="3"/>
      <c r="F324" s="3"/>
      <c r="G324" s="3"/>
      <c r="H324" s="3"/>
      <c r="I324" s="3"/>
      <c r="J324" s="3"/>
      <c r="K324" s="3"/>
    </row>
    <row r="325" ht="14.25" customHeight="1">
      <c r="A325" s="3"/>
      <c r="B325" s="3"/>
      <c r="C325" s="3"/>
      <c r="D325" s="3"/>
      <c r="E325" s="3"/>
      <c r="F325" s="3"/>
      <c r="G325" s="3"/>
      <c r="H325" s="3"/>
      <c r="I325" s="3"/>
      <c r="J325" s="3"/>
      <c r="K325" s="3"/>
    </row>
    <row r="326" ht="14.25" customHeight="1">
      <c r="A326" s="3"/>
      <c r="B326" s="3"/>
      <c r="C326" s="3"/>
      <c r="D326" s="3"/>
      <c r="E326" s="3"/>
      <c r="F326" s="3"/>
      <c r="G326" s="3"/>
      <c r="H326" s="3"/>
      <c r="I326" s="3"/>
      <c r="J326" s="3"/>
      <c r="K326" s="3"/>
    </row>
    <row r="327" ht="14.25" customHeight="1">
      <c r="A327" s="3"/>
      <c r="B327" s="3"/>
      <c r="C327" s="3"/>
      <c r="D327" s="3"/>
      <c r="E327" s="3"/>
      <c r="F327" s="3"/>
      <c r="G327" s="3"/>
      <c r="H327" s="3"/>
      <c r="I327" s="3"/>
      <c r="J327" s="3"/>
      <c r="K327" s="3"/>
    </row>
    <row r="328" ht="14.25" customHeight="1">
      <c r="A328" s="3"/>
      <c r="B328" s="3"/>
      <c r="C328" s="3"/>
      <c r="D328" s="3"/>
      <c r="E328" s="3"/>
      <c r="F328" s="3"/>
      <c r="G328" s="3"/>
      <c r="H328" s="3"/>
      <c r="I328" s="3"/>
      <c r="J328" s="3"/>
      <c r="K328" s="3"/>
    </row>
    <row r="329" ht="14.25" customHeight="1">
      <c r="A329" s="3"/>
      <c r="B329" s="3"/>
      <c r="C329" s="3"/>
      <c r="D329" s="3"/>
      <c r="E329" s="3"/>
      <c r="F329" s="3"/>
      <c r="G329" s="3"/>
      <c r="H329" s="3"/>
      <c r="I329" s="3"/>
      <c r="J329" s="3"/>
      <c r="K329" s="3"/>
    </row>
    <row r="330" ht="14.25" customHeight="1">
      <c r="A330" s="3"/>
      <c r="B330" s="3"/>
      <c r="C330" s="3"/>
      <c r="D330" s="3"/>
      <c r="E330" s="3"/>
      <c r="F330" s="3"/>
      <c r="G330" s="3"/>
      <c r="H330" s="3"/>
      <c r="I330" s="3"/>
      <c r="J330" s="3"/>
      <c r="K330" s="3"/>
    </row>
    <row r="331" ht="14.25" customHeight="1">
      <c r="A331" s="3"/>
      <c r="B331" s="3"/>
      <c r="C331" s="3"/>
      <c r="D331" s="3"/>
      <c r="E331" s="3"/>
      <c r="F331" s="3"/>
      <c r="G331" s="3"/>
      <c r="H331" s="3"/>
      <c r="I331" s="3"/>
      <c r="J331" s="3"/>
      <c r="K331" s="3"/>
    </row>
    <row r="332" ht="14.25" customHeight="1">
      <c r="A332" s="3"/>
      <c r="B332" s="3"/>
      <c r="C332" s="3"/>
      <c r="D332" s="3"/>
      <c r="E332" s="3"/>
      <c r="F332" s="3"/>
      <c r="G332" s="3"/>
      <c r="H332" s="3"/>
      <c r="I332" s="3"/>
      <c r="J332" s="3"/>
      <c r="K332" s="3"/>
    </row>
    <row r="333" ht="14.25" customHeight="1">
      <c r="A333" s="3"/>
      <c r="B333" s="3"/>
      <c r="C333" s="3"/>
      <c r="D333" s="3"/>
      <c r="E333" s="3"/>
      <c r="F333" s="3"/>
      <c r="G333" s="3"/>
      <c r="H333" s="3"/>
      <c r="I333" s="3"/>
      <c r="J333" s="3"/>
      <c r="K333" s="3"/>
    </row>
    <row r="334" ht="14.25" customHeight="1">
      <c r="A334" s="3"/>
      <c r="B334" s="3"/>
      <c r="C334" s="3"/>
      <c r="D334" s="3"/>
      <c r="E334" s="3"/>
      <c r="F334" s="3"/>
      <c r="G334" s="3"/>
      <c r="H334" s="3"/>
      <c r="I334" s="3"/>
      <c r="J334" s="3"/>
      <c r="K334" s="3"/>
    </row>
    <row r="335" ht="15.75" customHeight="1">
      <c r="A335" s="3"/>
      <c r="B335" s="3"/>
      <c r="C335" s="3"/>
      <c r="D335" s="3"/>
      <c r="E335" s="3"/>
      <c r="F335" s="3"/>
      <c r="G335" s="3"/>
      <c r="H335" s="3"/>
      <c r="I335" s="3"/>
      <c r="J335" s="3"/>
      <c r="K335" s="3"/>
    </row>
    <row r="336" ht="15.75" customHeight="1">
      <c r="A336" s="3"/>
      <c r="B336" s="3"/>
      <c r="C336" s="3"/>
      <c r="D336" s="3"/>
      <c r="E336" s="3"/>
      <c r="F336" s="3"/>
      <c r="G336" s="3"/>
      <c r="H336" s="3"/>
      <c r="I336" s="3"/>
      <c r="J336" s="3"/>
      <c r="K336" s="3"/>
    </row>
    <row r="337" ht="15.75" customHeight="1">
      <c r="A337" s="3"/>
      <c r="B337" s="3"/>
      <c r="C337" s="3"/>
      <c r="D337" s="3"/>
      <c r="E337" s="3"/>
      <c r="F337" s="3"/>
      <c r="G337" s="3"/>
      <c r="H337" s="3"/>
      <c r="I337" s="3"/>
      <c r="J337" s="3"/>
      <c r="K337" s="3"/>
    </row>
    <row r="338" ht="15.75" customHeight="1">
      <c r="A338" s="3"/>
      <c r="B338" s="3"/>
      <c r="C338" s="3"/>
      <c r="D338" s="3"/>
      <c r="E338" s="3"/>
      <c r="F338" s="3"/>
      <c r="G338" s="3"/>
      <c r="H338" s="3"/>
      <c r="I338" s="3"/>
      <c r="J338" s="3"/>
      <c r="K338" s="3"/>
    </row>
    <row r="339" ht="15.75" customHeight="1">
      <c r="A339" s="3"/>
      <c r="B339" s="3"/>
      <c r="C339" s="3"/>
      <c r="D339" s="3"/>
      <c r="E339" s="3"/>
      <c r="F339" s="3"/>
      <c r="G339" s="3"/>
      <c r="H339" s="3"/>
      <c r="I339" s="3"/>
      <c r="J339" s="3"/>
      <c r="K339" s="3"/>
    </row>
    <row r="340" ht="15.75" customHeight="1">
      <c r="A340" s="3"/>
      <c r="B340" s="3"/>
      <c r="C340" s="3"/>
      <c r="D340" s="3"/>
      <c r="E340" s="3"/>
      <c r="F340" s="3"/>
      <c r="G340" s="3"/>
      <c r="H340" s="3"/>
      <c r="I340" s="3"/>
      <c r="J340" s="3"/>
      <c r="K340" s="3"/>
    </row>
    <row r="341" ht="15.75" customHeight="1">
      <c r="A341" s="3"/>
      <c r="B341" s="3"/>
      <c r="C341" s="3"/>
      <c r="D341" s="3"/>
      <c r="E341" s="3"/>
      <c r="F341" s="3"/>
      <c r="G341" s="3"/>
      <c r="H341" s="3"/>
      <c r="I341" s="3"/>
      <c r="J341" s="3"/>
      <c r="K341" s="3"/>
    </row>
    <row r="342" ht="15.75" customHeight="1">
      <c r="A342" s="3"/>
      <c r="B342" s="3"/>
      <c r="C342" s="3"/>
      <c r="D342" s="3"/>
      <c r="E342" s="3"/>
      <c r="F342" s="3"/>
      <c r="G342" s="3"/>
      <c r="H342" s="3"/>
      <c r="I342" s="3"/>
      <c r="J342" s="3"/>
      <c r="K342" s="3"/>
    </row>
    <row r="343" ht="15.75" customHeight="1">
      <c r="A343" s="3"/>
      <c r="B343" s="3"/>
      <c r="C343" s="3"/>
      <c r="D343" s="3"/>
      <c r="E343" s="3"/>
      <c r="F343" s="3"/>
      <c r="G343" s="3"/>
      <c r="H343" s="3"/>
      <c r="I343" s="3"/>
      <c r="J343" s="3"/>
      <c r="K343" s="3"/>
    </row>
    <row r="344" ht="15.75" customHeight="1">
      <c r="A344" s="3"/>
      <c r="B344" s="3"/>
      <c r="C344" s="3"/>
      <c r="D344" s="3"/>
      <c r="E344" s="3"/>
      <c r="F344" s="3"/>
      <c r="G344" s="3"/>
      <c r="H344" s="3"/>
      <c r="I344" s="3"/>
      <c r="J344" s="3"/>
      <c r="K344" s="3"/>
    </row>
    <row r="345" ht="15.75" customHeight="1">
      <c r="A345" s="3"/>
      <c r="B345" s="3"/>
      <c r="C345" s="3"/>
      <c r="D345" s="3"/>
      <c r="E345" s="3"/>
      <c r="F345" s="3"/>
      <c r="G345" s="3"/>
      <c r="H345" s="3"/>
      <c r="I345" s="3"/>
      <c r="J345" s="3"/>
      <c r="K345" s="3"/>
    </row>
    <row r="346" ht="15.75" customHeight="1">
      <c r="A346" s="3"/>
      <c r="B346" s="3"/>
      <c r="C346" s="3"/>
      <c r="D346" s="3"/>
      <c r="E346" s="3"/>
      <c r="F346" s="3"/>
      <c r="G346" s="3"/>
      <c r="H346" s="3"/>
      <c r="I346" s="3"/>
      <c r="J346" s="3"/>
      <c r="K346" s="3"/>
    </row>
    <row r="347" ht="15.75" customHeight="1">
      <c r="A347" s="3"/>
      <c r="B347" s="3"/>
      <c r="C347" s="3"/>
      <c r="D347" s="3"/>
      <c r="E347" s="3"/>
      <c r="F347" s="3"/>
      <c r="G347" s="3"/>
      <c r="H347" s="3"/>
      <c r="I347" s="3"/>
      <c r="J347" s="3"/>
      <c r="K347" s="3"/>
    </row>
    <row r="348" ht="15.75" customHeight="1">
      <c r="A348" s="3"/>
      <c r="B348" s="3"/>
      <c r="C348" s="3"/>
      <c r="D348" s="3"/>
      <c r="E348" s="3"/>
      <c r="F348" s="3"/>
      <c r="G348" s="3"/>
      <c r="H348" s="3"/>
      <c r="I348" s="3"/>
      <c r="J348" s="3"/>
      <c r="K348" s="3"/>
    </row>
    <row r="349" ht="15.75" customHeight="1">
      <c r="A349" s="3"/>
      <c r="B349" s="3"/>
      <c r="C349" s="3"/>
      <c r="D349" s="3"/>
      <c r="E349" s="3"/>
      <c r="F349" s="3"/>
      <c r="G349" s="3"/>
      <c r="H349" s="3"/>
      <c r="I349" s="3"/>
      <c r="J349" s="3"/>
      <c r="K349" s="3"/>
    </row>
    <row r="350" ht="15.75" customHeight="1">
      <c r="A350" s="3"/>
      <c r="B350" s="3"/>
      <c r="C350" s="3"/>
      <c r="D350" s="3"/>
      <c r="E350" s="3"/>
      <c r="F350" s="3"/>
      <c r="G350" s="3"/>
      <c r="H350" s="3"/>
      <c r="I350" s="3"/>
      <c r="J350" s="3"/>
      <c r="K350" s="3"/>
    </row>
    <row r="351" ht="15.75" customHeight="1">
      <c r="A351" s="3"/>
      <c r="B351" s="3"/>
      <c r="C351" s="3"/>
      <c r="D351" s="3"/>
      <c r="E351" s="3"/>
      <c r="F351" s="3"/>
      <c r="G351" s="3"/>
      <c r="H351" s="3"/>
      <c r="I351" s="3"/>
      <c r="J351" s="3"/>
      <c r="K351" s="3"/>
    </row>
    <row r="352" ht="15.75" customHeight="1">
      <c r="A352" s="3"/>
      <c r="B352" s="3"/>
      <c r="C352" s="3"/>
      <c r="D352" s="3"/>
      <c r="E352" s="3"/>
      <c r="F352" s="3"/>
      <c r="G352" s="3"/>
      <c r="H352" s="3"/>
      <c r="I352" s="3"/>
      <c r="J352" s="3"/>
      <c r="K352" s="3"/>
    </row>
    <row r="353" ht="15.75" customHeight="1">
      <c r="A353" s="3"/>
      <c r="B353" s="3"/>
      <c r="C353" s="3"/>
      <c r="D353" s="3"/>
      <c r="E353" s="3"/>
      <c r="F353" s="3"/>
      <c r="G353" s="3"/>
      <c r="H353" s="3"/>
      <c r="I353" s="3"/>
      <c r="J353" s="3"/>
      <c r="K353" s="3"/>
    </row>
    <row r="354" ht="15.75" customHeight="1">
      <c r="A354" s="3"/>
      <c r="B354" s="3"/>
      <c r="C354" s="3"/>
      <c r="D354" s="3"/>
      <c r="E354" s="3"/>
      <c r="F354" s="3"/>
      <c r="G354" s="3"/>
      <c r="H354" s="3"/>
      <c r="I354" s="3"/>
      <c r="J354" s="3"/>
      <c r="K354" s="3"/>
    </row>
    <row r="355" ht="15.75" customHeight="1">
      <c r="A355" s="3"/>
      <c r="B355" s="3"/>
      <c r="C355" s="3"/>
      <c r="D355" s="3"/>
      <c r="E355" s="3"/>
      <c r="F355" s="3"/>
      <c r="G355" s="3"/>
      <c r="H355" s="3"/>
      <c r="I355" s="3"/>
      <c r="J355" s="3"/>
      <c r="K355" s="3"/>
    </row>
    <row r="356" ht="15.75" customHeight="1">
      <c r="A356" s="3"/>
      <c r="B356" s="3"/>
      <c r="C356" s="3"/>
      <c r="D356" s="3"/>
      <c r="E356" s="3"/>
      <c r="F356" s="3"/>
      <c r="G356" s="3"/>
      <c r="H356" s="3"/>
      <c r="I356" s="3"/>
      <c r="J356" s="3"/>
      <c r="K356" s="3"/>
    </row>
    <row r="357" ht="15.75" customHeight="1">
      <c r="A357" s="3"/>
      <c r="B357" s="3"/>
      <c r="C357" s="3"/>
      <c r="D357" s="3"/>
      <c r="E357" s="3"/>
      <c r="F357" s="3"/>
      <c r="G357" s="3"/>
      <c r="H357" s="3"/>
      <c r="I357" s="3"/>
      <c r="J357" s="3"/>
      <c r="K357" s="3"/>
    </row>
    <row r="358" ht="15.75" customHeight="1">
      <c r="A358" s="3"/>
      <c r="B358" s="3"/>
      <c r="C358" s="3"/>
      <c r="D358" s="3"/>
      <c r="E358" s="3"/>
      <c r="F358" s="3"/>
      <c r="G358" s="3"/>
      <c r="H358" s="3"/>
      <c r="I358" s="3"/>
      <c r="J358" s="3"/>
      <c r="K358" s="3"/>
    </row>
    <row r="359" ht="15.75" customHeight="1">
      <c r="A359" s="3"/>
      <c r="B359" s="3"/>
      <c r="C359" s="3"/>
      <c r="D359" s="3"/>
      <c r="E359" s="3"/>
      <c r="F359" s="3"/>
      <c r="G359" s="3"/>
      <c r="H359" s="3"/>
      <c r="I359" s="3"/>
      <c r="J359" s="3"/>
      <c r="K359" s="3"/>
    </row>
    <row r="360" ht="15.75" customHeight="1">
      <c r="A360" s="3"/>
      <c r="B360" s="3"/>
      <c r="C360" s="3"/>
      <c r="D360" s="3"/>
      <c r="E360" s="3"/>
      <c r="F360" s="3"/>
      <c r="G360" s="3"/>
      <c r="H360" s="3"/>
      <c r="I360" s="3"/>
      <c r="J360" s="3"/>
      <c r="K360" s="3"/>
    </row>
    <row r="361" ht="15.75" customHeight="1">
      <c r="A361" s="3"/>
      <c r="B361" s="3"/>
      <c r="C361" s="3"/>
      <c r="D361" s="3"/>
      <c r="E361" s="3"/>
      <c r="F361" s="3"/>
      <c r="G361" s="3"/>
      <c r="H361" s="3"/>
      <c r="I361" s="3"/>
      <c r="J361" s="3"/>
      <c r="K361" s="3"/>
    </row>
    <row r="362" ht="15.75" customHeight="1">
      <c r="A362" s="3"/>
      <c r="B362" s="3"/>
      <c r="C362" s="3"/>
      <c r="D362" s="3"/>
      <c r="E362" s="3"/>
      <c r="F362" s="3"/>
      <c r="G362" s="3"/>
      <c r="H362" s="3"/>
      <c r="I362" s="3"/>
      <c r="J362" s="3"/>
      <c r="K362" s="3"/>
    </row>
    <row r="363" ht="15.75" customHeight="1">
      <c r="A363" s="3"/>
      <c r="B363" s="3"/>
      <c r="C363" s="3"/>
      <c r="D363" s="3"/>
      <c r="E363" s="3"/>
      <c r="F363" s="3"/>
      <c r="G363" s="3"/>
      <c r="H363" s="3"/>
      <c r="I363" s="3"/>
      <c r="J363" s="3"/>
      <c r="K363" s="3"/>
    </row>
    <row r="364" ht="15.75" customHeight="1">
      <c r="A364" s="3"/>
      <c r="B364" s="3"/>
      <c r="C364" s="3"/>
      <c r="D364" s="3"/>
      <c r="E364" s="3"/>
      <c r="F364" s="3"/>
      <c r="G364" s="3"/>
      <c r="H364" s="3"/>
      <c r="I364" s="3"/>
      <c r="J364" s="3"/>
      <c r="K364" s="3"/>
    </row>
    <row r="365" ht="15.75" customHeight="1">
      <c r="A365" s="3"/>
      <c r="B365" s="3"/>
      <c r="C365" s="3"/>
      <c r="D365" s="3"/>
      <c r="E365" s="3"/>
      <c r="F365" s="3"/>
      <c r="G365" s="3"/>
      <c r="H365" s="3"/>
      <c r="I365" s="3"/>
      <c r="J365" s="3"/>
      <c r="K365" s="3"/>
    </row>
    <row r="366" ht="15.75" customHeight="1">
      <c r="A366" s="3"/>
      <c r="B366" s="3"/>
      <c r="C366" s="3"/>
      <c r="D366" s="3"/>
      <c r="E366" s="3"/>
      <c r="F366" s="3"/>
      <c r="G366" s="3"/>
      <c r="H366" s="3"/>
      <c r="I366" s="3"/>
      <c r="J366" s="3"/>
      <c r="K366" s="3"/>
    </row>
    <row r="367" ht="15.75" customHeight="1">
      <c r="A367" s="3"/>
      <c r="B367" s="3"/>
      <c r="C367" s="3"/>
      <c r="D367" s="3"/>
      <c r="E367" s="3"/>
      <c r="F367" s="3"/>
      <c r="G367" s="3"/>
      <c r="H367" s="3"/>
      <c r="I367" s="3"/>
      <c r="J367" s="3"/>
      <c r="K367" s="3"/>
    </row>
    <row r="368" ht="15.75" customHeight="1">
      <c r="A368" s="3"/>
      <c r="B368" s="3"/>
      <c r="C368" s="3"/>
      <c r="D368" s="3"/>
      <c r="E368" s="3"/>
      <c r="F368" s="3"/>
      <c r="G368" s="3"/>
      <c r="H368" s="3"/>
      <c r="I368" s="3"/>
      <c r="J368" s="3"/>
      <c r="K368" s="3"/>
    </row>
    <row r="369" ht="15.75" customHeight="1">
      <c r="A369" s="3"/>
      <c r="B369" s="3"/>
      <c r="C369" s="3"/>
      <c r="D369" s="3"/>
      <c r="E369" s="3"/>
      <c r="F369" s="3"/>
      <c r="G369" s="3"/>
      <c r="H369" s="3"/>
      <c r="I369" s="3"/>
      <c r="J369" s="3"/>
      <c r="K369" s="3"/>
    </row>
    <row r="370" ht="15.75" customHeight="1">
      <c r="A370" s="3"/>
      <c r="B370" s="3"/>
      <c r="C370" s="3"/>
      <c r="D370" s="3"/>
      <c r="E370" s="3"/>
      <c r="F370" s="3"/>
      <c r="G370" s="3"/>
      <c r="H370" s="3"/>
      <c r="I370" s="3"/>
      <c r="J370" s="3"/>
      <c r="K370" s="3"/>
    </row>
    <row r="371" ht="15.75" customHeight="1">
      <c r="A371" s="3"/>
      <c r="B371" s="3"/>
      <c r="C371" s="3"/>
      <c r="D371" s="3"/>
      <c r="E371" s="3"/>
      <c r="F371" s="3"/>
      <c r="G371" s="3"/>
      <c r="H371" s="3"/>
      <c r="I371" s="3"/>
      <c r="J371" s="3"/>
      <c r="K371" s="3"/>
    </row>
    <row r="372" ht="15.75" customHeight="1">
      <c r="A372" s="3"/>
      <c r="B372" s="3"/>
      <c r="C372" s="3"/>
      <c r="D372" s="3"/>
      <c r="E372" s="3"/>
      <c r="F372" s="3"/>
      <c r="G372" s="3"/>
      <c r="H372" s="3"/>
      <c r="I372" s="3"/>
      <c r="J372" s="3"/>
      <c r="K372" s="3"/>
    </row>
    <row r="373" ht="15.75" customHeight="1">
      <c r="A373" s="3"/>
      <c r="B373" s="3"/>
      <c r="C373" s="3"/>
      <c r="D373" s="3"/>
      <c r="E373" s="3"/>
      <c r="F373" s="3"/>
      <c r="G373" s="3"/>
      <c r="H373" s="3"/>
      <c r="I373" s="3"/>
      <c r="J373" s="3"/>
      <c r="K373" s="3"/>
    </row>
    <row r="374" ht="15.75" customHeight="1">
      <c r="A374" s="3"/>
      <c r="B374" s="3"/>
      <c r="C374" s="3"/>
      <c r="D374" s="3"/>
      <c r="E374" s="3"/>
      <c r="F374" s="3"/>
      <c r="G374" s="3"/>
      <c r="H374" s="3"/>
      <c r="I374" s="3"/>
      <c r="J374" s="3"/>
      <c r="K374" s="3"/>
    </row>
    <row r="375" ht="15.75" customHeight="1">
      <c r="A375" s="3"/>
      <c r="B375" s="3"/>
      <c r="C375" s="3"/>
      <c r="D375" s="3"/>
      <c r="E375" s="3"/>
      <c r="F375" s="3"/>
      <c r="G375" s="3"/>
      <c r="H375" s="3"/>
      <c r="I375" s="3"/>
      <c r="J375" s="3"/>
      <c r="K375" s="3"/>
    </row>
    <row r="376" ht="15.75" customHeight="1">
      <c r="A376" s="3"/>
      <c r="B376" s="3"/>
      <c r="C376" s="3"/>
      <c r="D376" s="3"/>
      <c r="E376" s="3"/>
      <c r="F376" s="3"/>
      <c r="G376" s="3"/>
      <c r="H376" s="3"/>
      <c r="I376" s="3"/>
      <c r="J376" s="3"/>
      <c r="K376" s="3"/>
    </row>
    <row r="377" ht="15.75" customHeight="1">
      <c r="A377" s="3"/>
      <c r="B377" s="3"/>
      <c r="C377" s="3"/>
      <c r="D377" s="3"/>
      <c r="E377" s="3"/>
      <c r="F377" s="3"/>
      <c r="G377" s="3"/>
      <c r="H377" s="3"/>
      <c r="I377" s="3"/>
      <c r="J377" s="3"/>
      <c r="K377" s="3"/>
    </row>
    <row r="378" ht="15.75" customHeight="1">
      <c r="A378" s="3"/>
      <c r="B378" s="3"/>
      <c r="C378" s="3"/>
      <c r="D378" s="3"/>
      <c r="E378" s="3"/>
      <c r="F378" s="3"/>
      <c r="G378" s="3"/>
      <c r="H378" s="3"/>
      <c r="I378" s="3"/>
      <c r="J378" s="3"/>
      <c r="K378" s="3"/>
    </row>
    <row r="379" ht="15.75" customHeight="1">
      <c r="A379" s="3"/>
      <c r="B379" s="3"/>
      <c r="C379" s="3"/>
      <c r="D379" s="3"/>
      <c r="E379" s="3"/>
      <c r="F379" s="3"/>
      <c r="G379" s="3"/>
      <c r="H379" s="3"/>
      <c r="I379" s="3"/>
      <c r="J379" s="3"/>
      <c r="K379" s="3"/>
    </row>
    <row r="380" ht="15.75" customHeight="1">
      <c r="A380" s="3"/>
      <c r="B380" s="3"/>
      <c r="C380" s="3"/>
      <c r="D380" s="3"/>
      <c r="E380" s="3"/>
      <c r="F380" s="3"/>
      <c r="G380" s="3"/>
      <c r="H380" s="3"/>
      <c r="I380" s="3"/>
      <c r="J380" s="3"/>
      <c r="K380" s="3"/>
    </row>
    <row r="381" ht="15.75" customHeight="1">
      <c r="A381" s="3"/>
      <c r="B381" s="3"/>
      <c r="C381" s="3"/>
      <c r="D381" s="3"/>
      <c r="E381" s="3"/>
      <c r="F381" s="3"/>
      <c r="G381" s="3"/>
      <c r="H381" s="3"/>
      <c r="I381" s="3"/>
      <c r="J381" s="3"/>
      <c r="K381" s="3"/>
    </row>
    <row r="382" ht="15.75" customHeight="1">
      <c r="A382" s="3"/>
      <c r="B382" s="3"/>
      <c r="C382" s="3"/>
      <c r="D382" s="3"/>
      <c r="E382" s="3"/>
      <c r="F382" s="3"/>
      <c r="G382" s="3"/>
      <c r="H382" s="3"/>
      <c r="I382" s="3"/>
      <c r="J382" s="3"/>
      <c r="K382" s="3"/>
    </row>
    <row r="383" ht="15.75" customHeight="1">
      <c r="A383" s="3"/>
      <c r="B383" s="3"/>
      <c r="C383" s="3"/>
      <c r="D383" s="3"/>
      <c r="E383" s="3"/>
      <c r="F383" s="3"/>
      <c r="G383" s="3"/>
      <c r="H383" s="3"/>
      <c r="I383" s="3"/>
      <c r="J383" s="3"/>
      <c r="K383" s="3"/>
    </row>
    <row r="384" ht="15.75" customHeight="1">
      <c r="A384" s="3"/>
      <c r="B384" s="3"/>
      <c r="C384" s="3"/>
      <c r="D384" s="3"/>
      <c r="E384" s="3"/>
      <c r="F384" s="3"/>
      <c r="G384" s="3"/>
      <c r="H384" s="3"/>
      <c r="I384" s="3"/>
      <c r="J384" s="3"/>
      <c r="K384" s="3"/>
    </row>
    <row r="385" ht="15.75" customHeight="1">
      <c r="A385" s="3"/>
      <c r="B385" s="3"/>
      <c r="C385" s="3"/>
      <c r="D385" s="3"/>
      <c r="E385" s="3"/>
      <c r="F385" s="3"/>
      <c r="G385" s="3"/>
      <c r="H385" s="3"/>
      <c r="I385" s="3"/>
      <c r="J385" s="3"/>
      <c r="K385" s="3"/>
    </row>
    <row r="386" ht="15.75" customHeight="1">
      <c r="A386" s="3"/>
      <c r="B386" s="3"/>
      <c r="C386" s="3"/>
      <c r="D386" s="3"/>
      <c r="E386" s="3"/>
      <c r="F386" s="3"/>
      <c r="G386" s="3"/>
      <c r="H386" s="3"/>
      <c r="I386" s="3"/>
      <c r="J386" s="3"/>
      <c r="K386" s="3"/>
    </row>
    <row r="387" ht="15.75" customHeight="1">
      <c r="A387" s="3"/>
      <c r="B387" s="3"/>
      <c r="C387" s="3"/>
      <c r="D387" s="3"/>
      <c r="E387" s="3"/>
      <c r="F387" s="3"/>
      <c r="G387" s="3"/>
      <c r="H387" s="3"/>
      <c r="I387" s="3"/>
      <c r="J387" s="3"/>
      <c r="K387" s="3"/>
    </row>
    <row r="388" ht="15.75" customHeight="1">
      <c r="A388" s="3"/>
      <c r="B388" s="3"/>
      <c r="C388" s="3"/>
      <c r="D388" s="3"/>
      <c r="E388" s="3"/>
      <c r="F388" s="3"/>
      <c r="G388" s="3"/>
      <c r="H388" s="3"/>
      <c r="I388" s="3"/>
      <c r="J388" s="3"/>
      <c r="K388" s="3"/>
    </row>
    <row r="389" ht="15.75" customHeight="1">
      <c r="A389" s="3"/>
      <c r="B389" s="3"/>
      <c r="C389" s="3"/>
      <c r="D389" s="3"/>
      <c r="E389" s="3"/>
      <c r="F389" s="3"/>
      <c r="G389" s="3"/>
      <c r="H389" s="3"/>
      <c r="I389" s="3"/>
      <c r="J389" s="3"/>
      <c r="K389" s="3"/>
    </row>
    <row r="390" ht="15.75" customHeight="1">
      <c r="A390" s="3"/>
      <c r="B390" s="3"/>
      <c r="C390" s="3"/>
      <c r="D390" s="3"/>
      <c r="E390" s="3"/>
      <c r="F390" s="3"/>
      <c r="G390" s="3"/>
      <c r="H390" s="3"/>
      <c r="I390" s="3"/>
      <c r="J390" s="3"/>
      <c r="K390" s="3"/>
    </row>
    <row r="391" ht="15.75" customHeight="1">
      <c r="A391" s="3"/>
      <c r="B391" s="3"/>
      <c r="C391" s="3"/>
      <c r="D391" s="3"/>
      <c r="E391" s="3"/>
      <c r="F391" s="3"/>
      <c r="G391" s="3"/>
      <c r="H391" s="3"/>
      <c r="I391" s="3"/>
      <c r="J391" s="3"/>
      <c r="K391" s="3"/>
    </row>
    <row r="392" ht="15.75" customHeight="1">
      <c r="A392" s="3"/>
      <c r="B392" s="3"/>
      <c r="C392" s="3"/>
      <c r="D392" s="3"/>
      <c r="E392" s="3"/>
      <c r="F392" s="3"/>
      <c r="G392" s="3"/>
      <c r="H392" s="3"/>
      <c r="I392" s="3"/>
      <c r="J392" s="3"/>
      <c r="K392" s="3"/>
    </row>
    <row r="393" ht="15.75" customHeight="1">
      <c r="A393" s="3"/>
      <c r="B393" s="3"/>
      <c r="C393" s="3"/>
      <c r="D393" s="3"/>
      <c r="E393" s="3"/>
      <c r="F393" s="3"/>
      <c r="G393" s="3"/>
      <c r="H393" s="3"/>
      <c r="I393" s="3"/>
      <c r="J393" s="3"/>
      <c r="K393" s="3"/>
    </row>
    <row r="394" ht="15.75" customHeight="1">
      <c r="A394" s="3"/>
      <c r="B394" s="3"/>
      <c r="C394" s="3"/>
      <c r="D394" s="3"/>
      <c r="E394" s="3"/>
      <c r="F394" s="3"/>
      <c r="G394" s="3"/>
      <c r="H394" s="3"/>
      <c r="I394" s="3"/>
      <c r="J394" s="3"/>
      <c r="K394" s="3"/>
    </row>
    <row r="395" ht="15.75" customHeight="1">
      <c r="A395" s="3"/>
      <c r="B395" s="3"/>
      <c r="C395" s="3"/>
      <c r="D395" s="3"/>
      <c r="E395" s="3"/>
      <c r="F395" s="3"/>
      <c r="G395" s="3"/>
      <c r="H395" s="3"/>
      <c r="I395" s="3"/>
      <c r="J395" s="3"/>
      <c r="K395" s="3"/>
    </row>
    <row r="396" ht="15.75" customHeight="1">
      <c r="A396" s="3"/>
      <c r="B396" s="3"/>
      <c r="C396" s="3"/>
      <c r="D396" s="3"/>
      <c r="E396" s="3"/>
      <c r="F396" s="3"/>
      <c r="G396" s="3"/>
      <c r="H396" s="3"/>
      <c r="I396" s="3"/>
      <c r="J396" s="3"/>
      <c r="K396" s="3"/>
    </row>
    <row r="397" ht="15.75" customHeight="1">
      <c r="A397" s="3"/>
      <c r="B397" s="3"/>
      <c r="C397" s="3"/>
      <c r="D397" s="3"/>
      <c r="E397" s="3"/>
      <c r="F397" s="3"/>
      <c r="G397" s="3"/>
      <c r="H397" s="3"/>
      <c r="I397" s="3"/>
      <c r="J397" s="3"/>
      <c r="K397" s="3"/>
    </row>
    <row r="398" ht="15.75" customHeight="1">
      <c r="A398" s="3"/>
      <c r="B398" s="3"/>
      <c r="C398" s="3"/>
      <c r="D398" s="3"/>
      <c r="E398" s="3"/>
      <c r="F398" s="3"/>
      <c r="G398" s="3"/>
      <c r="H398" s="3"/>
      <c r="I398" s="3"/>
      <c r="J398" s="3"/>
      <c r="K398" s="3"/>
    </row>
    <row r="399" ht="15.75" customHeight="1">
      <c r="A399" s="3"/>
      <c r="B399" s="3"/>
      <c r="C399" s="3"/>
      <c r="D399" s="3"/>
      <c r="E399" s="3"/>
      <c r="F399" s="3"/>
      <c r="G399" s="3"/>
      <c r="H399" s="3"/>
      <c r="I399" s="3"/>
      <c r="J399" s="3"/>
      <c r="K399" s="3"/>
    </row>
    <row r="400" ht="15.75" customHeight="1">
      <c r="A400" s="3"/>
      <c r="B400" s="3"/>
      <c r="C400" s="3"/>
      <c r="D400" s="3"/>
      <c r="E400" s="3"/>
      <c r="F400" s="3"/>
      <c r="G400" s="3"/>
      <c r="H400" s="3"/>
      <c r="I400" s="3"/>
      <c r="J400" s="3"/>
      <c r="K400" s="3"/>
    </row>
    <row r="401" ht="15.75" customHeight="1">
      <c r="A401" s="3"/>
      <c r="B401" s="3"/>
      <c r="C401" s="3"/>
      <c r="D401" s="3"/>
      <c r="E401" s="3"/>
      <c r="F401" s="3"/>
      <c r="G401" s="3"/>
      <c r="H401" s="3"/>
      <c r="I401" s="3"/>
      <c r="J401" s="3"/>
      <c r="K401" s="3"/>
    </row>
    <row r="402" ht="15.75" customHeight="1">
      <c r="A402" s="3"/>
      <c r="B402" s="3"/>
      <c r="C402" s="3"/>
      <c r="D402" s="3"/>
      <c r="E402" s="3"/>
      <c r="F402" s="3"/>
      <c r="G402" s="3"/>
      <c r="H402" s="3"/>
      <c r="I402" s="3"/>
      <c r="J402" s="3"/>
      <c r="K402" s="3"/>
    </row>
    <row r="403" ht="15.75" customHeight="1">
      <c r="A403" s="3"/>
      <c r="B403" s="3"/>
      <c r="C403" s="3"/>
      <c r="D403" s="3"/>
      <c r="E403" s="3"/>
      <c r="F403" s="3"/>
      <c r="G403" s="3"/>
      <c r="H403" s="3"/>
      <c r="I403" s="3"/>
      <c r="J403" s="3"/>
      <c r="K403" s="3"/>
    </row>
    <row r="404" ht="15.75" customHeight="1">
      <c r="A404" s="3"/>
      <c r="B404" s="3"/>
      <c r="C404" s="3"/>
      <c r="D404" s="3"/>
      <c r="E404" s="3"/>
      <c r="F404" s="3"/>
      <c r="G404" s="3"/>
      <c r="H404" s="3"/>
      <c r="I404" s="3"/>
      <c r="J404" s="3"/>
      <c r="K404" s="3"/>
    </row>
    <row r="405" ht="15.75" customHeight="1">
      <c r="A405" s="3"/>
      <c r="B405" s="3"/>
      <c r="C405" s="3"/>
      <c r="D405" s="3"/>
      <c r="E405" s="3"/>
      <c r="F405" s="3"/>
      <c r="G405" s="3"/>
      <c r="H405" s="3"/>
      <c r="I405" s="3"/>
      <c r="J405" s="3"/>
      <c r="K405" s="3"/>
    </row>
    <row r="406" ht="15.75" customHeight="1">
      <c r="A406" s="3"/>
      <c r="B406" s="3"/>
      <c r="C406" s="3"/>
      <c r="D406" s="3"/>
      <c r="E406" s="3"/>
      <c r="F406" s="3"/>
      <c r="G406" s="3"/>
      <c r="H406" s="3"/>
      <c r="I406" s="3"/>
      <c r="J406" s="3"/>
      <c r="K406" s="3"/>
    </row>
    <row r="407" ht="15.75" customHeight="1">
      <c r="A407" s="3"/>
      <c r="B407" s="3"/>
      <c r="C407" s="3"/>
      <c r="D407" s="3"/>
      <c r="E407" s="3"/>
      <c r="F407" s="3"/>
      <c r="G407" s="3"/>
      <c r="H407" s="3"/>
      <c r="I407" s="3"/>
      <c r="J407" s="3"/>
      <c r="K407" s="3"/>
    </row>
    <row r="408" ht="15.75" customHeight="1">
      <c r="A408" s="3"/>
      <c r="B408" s="3"/>
      <c r="C408" s="3"/>
      <c r="D408" s="3"/>
      <c r="E408" s="3"/>
      <c r="F408" s="3"/>
      <c r="G408" s="3"/>
      <c r="H408" s="3"/>
      <c r="I408" s="3"/>
      <c r="J408" s="3"/>
      <c r="K408" s="3"/>
    </row>
    <row r="409" ht="15.75" customHeight="1">
      <c r="A409" s="3"/>
      <c r="B409" s="3"/>
      <c r="C409" s="3"/>
      <c r="D409" s="3"/>
      <c r="E409" s="3"/>
      <c r="F409" s="3"/>
      <c r="G409" s="3"/>
      <c r="H409" s="3"/>
      <c r="I409" s="3"/>
      <c r="J409" s="3"/>
      <c r="K409" s="3"/>
    </row>
    <row r="410" ht="15.75" customHeight="1">
      <c r="A410" s="3"/>
      <c r="B410" s="3"/>
      <c r="C410" s="3"/>
      <c r="D410" s="3"/>
      <c r="E410" s="3"/>
      <c r="F410" s="3"/>
      <c r="G410" s="3"/>
      <c r="H410" s="3"/>
      <c r="I410" s="3"/>
      <c r="J410" s="3"/>
      <c r="K410" s="3"/>
    </row>
    <row r="411" ht="15.75" customHeight="1">
      <c r="A411" s="3"/>
      <c r="B411" s="3"/>
      <c r="C411" s="3"/>
      <c r="D411" s="3"/>
      <c r="E411" s="3"/>
      <c r="F411" s="3"/>
      <c r="G411" s="3"/>
      <c r="H411" s="3"/>
      <c r="I411" s="3"/>
      <c r="J411" s="3"/>
      <c r="K411" s="3"/>
    </row>
    <row r="412" ht="15.75" customHeight="1">
      <c r="A412" s="3"/>
      <c r="B412" s="3"/>
      <c r="C412" s="3"/>
      <c r="D412" s="3"/>
      <c r="E412" s="3"/>
      <c r="F412" s="3"/>
      <c r="G412" s="3"/>
      <c r="H412" s="3"/>
      <c r="I412" s="3"/>
      <c r="J412" s="3"/>
      <c r="K412" s="3"/>
    </row>
    <row r="413" ht="15.75" customHeight="1">
      <c r="A413" s="3"/>
      <c r="B413" s="3"/>
      <c r="C413" s="3"/>
      <c r="D413" s="3"/>
      <c r="E413" s="3"/>
      <c r="F413" s="3"/>
      <c r="G413" s="3"/>
      <c r="H413" s="3"/>
      <c r="I413" s="3"/>
      <c r="J413" s="3"/>
      <c r="K413" s="3"/>
    </row>
    <row r="414" ht="15.75" customHeight="1">
      <c r="A414" s="3"/>
      <c r="B414" s="3"/>
      <c r="C414" s="3"/>
      <c r="D414" s="3"/>
      <c r="E414" s="3"/>
      <c r="F414" s="3"/>
      <c r="G414" s="3"/>
      <c r="H414" s="3"/>
      <c r="I414" s="3"/>
      <c r="J414" s="3"/>
      <c r="K414" s="3"/>
    </row>
    <row r="415" ht="15.75" customHeight="1">
      <c r="A415" s="3"/>
      <c r="B415" s="3"/>
      <c r="C415" s="3"/>
      <c r="D415" s="3"/>
      <c r="E415" s="3"/>
      <c r="F415" s="3"/>
      <c r="G415" s="3"/>
      <c r="H415" s="3"/>
      <c r="I415" s="3"/>
      <c r="J415" s="3"/>
      <c r="K415" s="3"/>
    </row>
    <row r="416" ht="15.75" customHeight="1">
      <c r="A416" s="3"/>
      <c r="B416" s="3"/>
      <c r="C416" s="3"/>
      <c r="D416" s="3"/>
      <c r="E416" s="3"/>
      <c r="F416" s="3"/>
      <c r="G416" s="3"/>
      <c r="H416" s="3"/>
      <c r="I416" s="3"/>
      <c r="J416" s="3"/>
      <c r="K416" s="3"/>
    </row>
    <row r="417" ht="15.75" customHeight="1">
      <c r="A417" s="3"/>
      <c r="B417" s="3"/>
      <c r="C417" s="3"/>
      <c r="D417" s="3"/>
      <c r="E417" s="3"/>
      <c r="F417" s="3"/>
      <c r="G417" s="3"/>
      <c r="H417" s="3"/>
      <c r="I417" s="3"/>
      <c r="J417" s="3"/>
      <c r="K417" s="3"/>
    </row>
    <row r="418" ht="15.75" customHeight="1">
      <c r="A418" s="3"/>
      <c r="B418" s="3"/>
      <c r="C418" s="3"/>
      <c r="D418" s="3"/>
      <c r="E418" s="3"/>
      <c r="F418" s="3"/>
      <c r="G418" s="3"/>
      <c r="H418" s="3"/>
      <c r="I418" s="3"/>
      <c r="J418" s="3"/>
      <c r="K418" s="3"/>
    </row>
    <row r="419" ht="15.75" customHeight="1">
      <c r="A419" s="3"/>
      <c r="B419" s="3"/>
      <c r="C419" s="3"/>
      <c r="D419" s="3"/>
      <c r="E419" s="3"/>
      <c r="F419" s="3"/>
      <c r="G419" s="3"/>
      <c r="H419" s="3"/>
      <c r="I419" s="3"/>
      <c r="J419" s="3"/>
      <c r="K419" s="3"/>
    </row>
    <row r="420" ht="15.75" customHeight="1">
      <c r="A420" s="3"/>
      <c r="B420" s="3"/>
      <c r="C420" s="3"/>
      <c r="D420" s="3"/>
      <c r="E420" s="3"/>
      <c r="F420" s="3"/>
      <c r="G420" s="3"/>
      <c r="H420" s="3"/>
      <c r="I420" s="3"/>
      <c r="J420" s="3"/>
      <c r="K420" s="3"/>
    </row>
    <row r="421" ht="15.75" customHeight="1">
      <c r="A421" s="3"/>
      <c r="B421" s="3"/>
      <c r="C421" s="3"/>
      <c r="D421" s="3"/>
      <c r="E421" s="3"/>
      <c r="F421" s="3"/>
      <c r="G421" s="3"/>
      <c r="H421" s="3"/>
      <c r="I421" s="3"/>
      <c r="J421" s="3"/>
      <c r="K421" s="3"/>
    </row>
    <row r="422" ht="15.75" customHeight="1">
      <c r="A422" s="3"/>
      <c r="B422" s="3"/>
      <c r="C422" s="3"/>
      <c r="D422" s="3"/>
      <c r="E422" s="3"/>
      <c r="F422" s="3"/>
      <c r="G422" s="3"/>
      <c r="H422" s="3"/>
      <c r="I422" s="3"/>
      <c r="J422" s="3"/>
      <c r="K422" s="3"/>
    </row>
    <row r="423" ht="15.75" customHeight="1">
      <c r="A423" s="3"/>
      <c r="B423" s="3"/>
      <c r="C423" s="3"/>
      <c r="D423" s="3"/>
      <c r="E423" s="3"/>
      <c r="F423" s="3"/>
      <c r="G423" s="3"/>
      <c r="H423" s="3"/>
      <c r="I423" s="3"/>
      <c r="J423" s="3"/>
      <c r="K423" s="3"/>
    </row>
    <row r="424" ht="15.75" customHeight="1">
      <c r="A424" s="3"/>
      <c r="B424" s="3"/>
      <c r="C424" s="3"/>
      <c r="D424" s="3"/>
      <c r="E424" s="3"/>
      <c r="F424" s="3"/>
      <c r="G424" s="3"/>
      <c r="H424" s="3"/>
      <c r="I424" s="3"/>
      <c r="J424" s="3"/>
      <c r="K424" s="3"/>
    </row>
    <row r="425" ht="15.75" customHeight="1">
      <c r="A425" s="3"/>
      <c r="B425" s="3"/>
      <c r="C425" s="3"/>
      <c r="D425" s="3"/>
      <c r="E425" s="3"/>
      <c r="F425" s="3"/>
      <c r="G425" s="3"/>
      <c r="H425" s="3"/>
      <c r="I425" s="3"/>
      <c r="J425" s="3"/>
      <c r="K425" s="3"/>
    </row>
    <row r="426" ht="15.75" customHeight="1">
      <c r="A426" s="3"/>
      <c r="B426" s="3"/>
      <c r="C426" s="3"/>
      <c r="D426" s="3"/>
      <c r="E426" s="3"/>
      <c r="F426" s="3"/>
      <c r="G426" s="3"/>
      <c r="H426" s="3"/>
      <c r="I426" s="3"/>
      <c r="J426" s="3"/>
      <c r="K426" s="3"/>
    </row>
    <row r="427" ht="15.75" customHeight="1">
      <c r="A427" s="3"/>
      <c r="B427" s="3"/>
      <c r="C427" s="3"/>
      <c r="D427" s="3"/>
      <c r="E427" s="3"/>
      <c r="F427" s="3"/>
      <c r="G427" s="3"/>
      <c r="H427" s="3"/>
      <c r="I427" s="3"/>
      <c r="J427" s="3"/>
      <c r="K427" s="3"/>
    </row>
    <row r="428" ht="15.75" customHeight="1">
      <c r="A428" s="3"/>
      <c r="B428" s="3"/>
      <c r="C428" s="3"/>
      <c r="D428" s="3"/>
      <c r="E428" s="3"/>
      <c r="F428" s="3"/>
      <c r="G428" s="3"/>
      <c r="H428" s="3"/>
      <c r="I428" s="3"/>
      <c r="J428" s="3"/>
      <c r="K428" s="3"/>
    </row>
    <row r="429" ht="15.75" customHeight="1">
      <c r="A429" s="3"/>
      <c r="B429" s="3"/>
      <c r="C429" s="3"/>
      <c r="D429" s="3"/>
      <c r="E429" s="3"/>
      <c r="F429" s="3"/>
      <c r="G429" s="3"/>
      <c r="H429" s="3"/>
      <c r="I429" s="3"/>
      <c r="J429" s="3"/>
      <c r="K429" s="3"/>
    </row>
    <row r="430" ht="15.75" customHeight="1">
      <c r="A430" s="3"/>
      <c r="B430" s="3"/>
      <c r="C430" s="3"/>
      <c r="D430" s="3"/>
      <c r="E430" s="3"/>
      <c r="F430" s="3"/>
      <c r="G430" s="3"/>
      <c r="H430" s="3"/>
      <c r="I430" s="3"/>
      <c r="J430" s="3"/>
      <c r="K430" s="3"/>
    </row>
    <row r="431" ht="15.75" customHeight="1">
      <c r="A431" s="3"/>
      <c r="B431" s="3"/>
      <c r="C431" s="3"/>
      <c r="D431" s="3"/>
      <c r="E431" s="3"/>
      <c r="F431" s="3"/>
      <c r="G431" s="3"/>
      <c r="H431" s="3"/>
      <c r="I431" s="3"/>
      <c r="J431" s="3"/>
      <c r="K431" s="3"/>
    </row>
    <row r="432" ht="15.75" customHeight="1">
      <c r="A432" s="3"/>
      <c r="B432" s="3"/>
      <c r="C432" s="3"/>
      <c r="D432" s="3"/>
      <c r="E432" s="3"/>
      <c r="F432" s="3"/>
      <c r="G432" s="3"/>
      <c r="H432" s="3"/>
      <c r="I432" s="3"/>
      <c r="J432" s="3"/>
      <c r="K432" s="3"/>
    </row>
    <row r="433" ht="15.75" customHeight="1">
      <c r="A433" s="3"/>
      <c r="B433" s="3"/>
      <c r="C433" s="3"/>
      <c r="D433" s="3"/>
      <c r="E433" s="3"/>
      <c r="F433" s="3"/>
      <c r="G433" s="3"/>
      <c r="H433" s="3"/>
      <c r="I433" s="3"/>
      <c r="J433" s="3"/>
      <c r="K433" s="3"/>
    </row>
    <row r="434" ht="15.75" customHeight="1">
      <c r="A434" s="3"/>
      <c r="B434" s="3"/>
      <c r="C434" s="3"/>
      <c r="D434" s="3"/>
      <c r="E434" s="3"/>
      <c r="F434" s="3"/>
      <c r="G434" s="3"/>
      <c r="H434" s="3"/>
      <c r="I434" s="3"/>
      <c r="J434" s="3"/>
      <c r="K434" s="3"/>
    </row>
    <row r="435" ht="15.75" customHeight="1">
      <c r="A435" s="3"/>
      <c r="B435" s="3"/>
      <c r="C435" s="3"/>
      <c r="D435" s="3"/>
      <c r="E435" s="3"/>
      <c r="F435" s="3"/>
      <c r="G435" s="3"/>
      <c r="H435" s="3"/>
      <c r="I435" s="3"/>
      <c r="J435" s="3"/>
      <c r="K435" s="3"/>
    </row>
    <row r="436" ht="15.75" customHeight="1">
      <c r="A436" s="3"/>
      <c r="B436" s="3"/>
      <c r="C436" s="3"/>
      <c r="D436" s="3"/>
      <c r="E436" s="3"/>
      <c r="F436" s="3"/>
      <c r="G436" s="3"/>
      <c r="H436" s="3"/>
      <c r="I436" s="3"/>
      <c r="J436" s="3"/>
      <c r="K436" s="3"/>
    </row>
    <row r="437" ht="15.75" customHeight="1">
      <c r="A437" s="3"/>
      <c r="B437" s="3"/>
      <c r="C437" s="3"/>
      <c r="D437" s="3"/>
      <c r="E437" s="3"/>
      <c r="F437" s="3"/>
      <c r="G437" s="3"/>
      <c r="H437" s="3"/>
      <c r="I437" s="3"/>
      <c r="J437" s="3"/>
      <c r="K437" s="3"/>
    </row>
    <row r="438" ht="15.75" customHeight="1">
      <c r="A438" s="3"/>
      <c r="B438" s="3"/>
      <c r="C438" s="3"/>
      <c r="D438" s="3"/>
      <c r="E438" s="3"/>
      <c r="F438" s="3"/>
      <c r="G438" s="3"/>
      <c r="H438" s="3"/>
      <c r="I438" s="3"/>
      <c r="J438" s="3"/>
      <c r="K438" s="3"/>
    </row>
    <row r="439" ht="15.75" customHeight="1">
      <c r="A439" s="3"/>
      <c r="B439" s="3"/>
      <c r="C439" s="3"/>
      <c r="D439" s="3"/>
      <c r="E439" s="3"/>
      <c r="F439" s="3"/>
      <c r="G439" s="3"/>
      <c r="H439" s="3"/>
      <c r="I439" s="3"/>
      <c r="J439" s="3"/>
      <c r="K439" s="3"/>
    </row>
    <row r="440" ht="15.75" customHeight="1">
      <c r="A440" s="3"/>
      <c r="B440" s="3"/>
      <c r="C440" s="3"/>
      <c r="D440" s="3"/>
      <c r="E440" s="3"/>
      <c r="F440" s="3"/>
      <c r="G440" s="3"/>
      <c r="H440" s="3"/>
      <c r="I440" s="3"/>
      <c r="J440" s="3"/>
      <c r="K440" s="3"/>
    </row>
    <row r="441" ht="15.75" customHeight="1">
      <c r="A441" s="3"/>
      <c r="B441" s="3"/>
      <c r="C441" s="3"/>
      <c r="D441" s="3"/>
      <c r="E441" s="3"/>
      <c r="F441" s="3"/>
      <c r="G441" s="3"/>
      <c r="H441" s="3"/>
      <c r="I441" s="3"/>
      <c r="J441" s="3"/>
      <c r="K441" s="3"/>
    </row>
    <row r="442" ht="15.75" customHeight="1">
      <c r="A442" s="3"/>
      <c r="B442" s="3"/>
      <c r="C442" s="3"/>
      <c r="D442" s="3"/>
      <c r="E442" s="3"/>
      <c r="F442" s="3"/>
      <c r="G442" s="3"/>
      <c r="H442" s="3"/>
      <c r="I442" s="3"/>
      <c r="J442" s="3"/>
      <c r="K442" s="3"/>
    </row>
    <row r="443" ht="15.75" customHeight="1">
      <c r="A443" s="3"/>
      <c r="B443" s="3"/>
      <c r="C443" s="3"/>
      <c r="D443" s="3"/>
      <c r="E443" s="3"/>
      <c r="F443" s="3"/>
      <c r="G443" s="3"/>
      <c r="H443" s="3"/>
      <c r="I443" s="3"/>
      <c r="J443" s="3"/>
      <c r="K443" s="3"/>
    </row>
    <row r="444" ht="15.75" customHeight="1">
      <c r="A444" s="3"/>
      <c r="B444" s="3"/>
      <c r="C444" s="3"/>
      <c r="D444" s="3"/>
      <c r="E444" s="3"/>
      <c r="F444" s="3"/>
      <c r="G444" s="3"/>
      <c r="H444" s="3"/>
      <c r="I444" s="3"/>
      <c r="J444" s="3"/>
      <c r="K444" s="3"/>
    </row>
    <row r="445" ht="15.75" customHeight="1">
      <c r="A445" s="3"/>
      <c r="B445" s="3"/>
      <c r="C445" s="3"/>
      <c r="D445" s="3"/>
      <c r="E445" s="3"/>
      <c r="F445" s="3"/>
      <c r="G445" s="3"/>
      <c r="H445" s="3"/>
      <c r="I445" s="3"/>
      <c r="J445" s="3"/>
      <c r="K445" s="3"/>
    </row>
    <row r="446" ht="15.75" customHeight="1">
      <c r="A446" s="3"/>
      <c r="B446" s="3"/>
      <c r="C446" s="3"/>
      <c r="D446" s="3"/>
      <c r="E446" s="3"/>
      <c r="F446" s="3"/>
      <c r="G446" s="3"/>
      <c r="H446" s="3"/>
      <c r="I446" s="3"/>
      <c r="J446" s="3"/>
      <c r="K446" s="3"/>
    </row>
    <row r="447" ht="15.75" customHeight="1">
      <c r="A447" s="3"/>
      <c r="B447" s="3"/>
      <c r="C447" s="3"/>
      <c r="D447" s="3"/>
      <c r="E447" s="3"/>
      <c r="F447" s="3"/>
      <c r="G447" s="3"/>
      <c r="H447" s="3"/>
      <c r="I447" s="3"/>
      <c r="J447" s="3"/>
      <c r="K447" s="3"/>
    </row>
    <row r="448" ht="15.75" customHeight="1">
      <c r="A448" s="3"/>
      <c r="B448" s="3"/>
      <c r="C448" s="3"/>
      <c r="D448" s="3"/>
      <c r="E448" s="3"/>
      <c r="F448" s="3"/>
      <c r="G448" s="3"/>
      <c r="H448" s="3"/>
      <c r="I448" s="3"/>
      <c r="J448" s="3"/>
      <c r="K448" s="3"/>
    </row>
    <row r="449" ht="15.75" customHeight="1">
      <c r="A449" s="3"/>
      <c r="B449" s="3"/>
      <c r="C449" s="3"/>
      <c r="D449" s="3"/>
      <c r="E449" s="3"/>
      <c r="F449" s="3"/>
      <c r="G449" s="3"/>
      <c r="H449" s="3"/>
      <c r="I449" s="3"/>
      <c r="J449" s="3"/>
      <c r="K449" s="3"/>
    </row>
    <row r="450" ht="15.75" customHeight="1">
      <c r="A450" s="3"/>
      <c r="B450" s="3"/>
      <c r="C450" s="3"/>
      <c r="D450" s="3"/>
      <c r="E450" s="3"/>
      <c r="F450" s="3"/>
      <c r="G450" s="3"/>
      <c r="H450" s="3"/>
      <c r="I450" s="3"/>
      <c r="J450" s="3"/>
      <c r="K450" s="3"/>
    </row>
    <row r="451" ht="15.75" customHeight="1">
      <c r="A451" s="3"/>
      <c r="B451" s="3"/>
      <c r="C451" s="3"/>
      <c r="D451" s="3"/>
      <c r="E451" s="3"/>
      <c r="F451" s="3"/>
      <c r="G451" s="3"/>
      <c r="H451" s="3"/>
      <c r="I451" s="3"/>
      <c r="J451" s="3"/>
      <c r="K451" s="3"/>
    </row>
    <row r="452" ht="15.75" customHeight="1">
      <c r="A452" s="3"/>
      <c r="B452" s="3"/>
      <c r="C452" s="3"/>
      <c r="D452" s="3"/>
      <c r="E452" s="3"/>
      <c r="F452" s="3"/>
      <c r="G452" s="3"/>
      <c r="H452" s="3"/>
      <c r="I452" s="3"/>
      <c r="J452" s="3"/>
      <c r="K452" s="3"/>
    </row>
    <row r="453" ht="15.75" customHeight="1">
      <c r="A453" s="3"/>
      <c r="B453" s="3"/>
      <c r="C453" s="3"/>
      <c r="D453" s="3"/>
      <c r="E453" s="3"/>
      <c r="F453" s="3"/>
      <c r="G453" s="3"/>
      <c r="H453" s="3"/>
      <c r="I453" s="3"/>
      <c r="J453" s="3"/>
      <c r="K453" s="3"/>
    </row>
    <row r="454" ht="15.75" customHeight="1">
      <c r="A454" s="3"/>
      <c r="B454" s="3"/>
      <c r="C454" s="3"/>
      <c r="D454" s="3"/>
      <c r="E454" s="3"/>
      <c r="F454" s="3"/>
      <c r="G454" s="3"/>
      <c r="H454" s="3"/>
      <c r="I454" s="3"/>
      <c r="J454" s="3"/>
      <c r="K454" s="3"/>
    </row>
    <row r="455" ht="15.75" customHeight="1">
      <c r="A455" s="3"/>
      <c r="B455" s="3"/>
      <c r="C455" s="3"/>
      <c r="D455" s="3"/>
      <c r="E455" s="3"/>
      <c r="F455" s="3"/>
      <c r="G455" s="3"/>
      <c r="H455" s="3"/>
      <c r="I455" s="3"/>
      <c r="J455" s="3"/>
      <c r="K455" s="3"/>
    </row>
    <row r="456" ht="15.75" customHeight="1">
      <c r="A456" s="3"/>
      <c r="B456" s="3"/>
      <c r="C456" s="3"/>
      <c r="D456" s="3"/>
      <c r="E456" s="3"/>
      <c r="F456" s="3"/>
      <c r="G456" s="3"/>
      <c r="H456" s="3"/>
      <c r="I456" s="3"/>
      <c r="J456" s="3"/>
      <c r="K456" s="3"/>
    </row>
    <row r="457" ht="15.75" customHeight="1">
      <c r="A457" s="3"/>
      <c r="B457" s="3"/>
      <c r="C457" s="3"/>
      <c r="D457" s="3"/>
      <c r="E457" s="3"/>
      <c r="F457" s="3"/>
      <c r="G457" s="3"/>
      <c r="H457" s="3"/>
      <c r="I457" s="3"/>
      <c r="J457" s="3"/>
      <c r="K457" s="3"/>
    </row>
    <row r="458" ht="15.75" customHeight="1">
      <c r="A458" s="3"/>
      <c r="B458" s="3"/>
      <c r="C458" s="3"/>
      <c r="D458" s="3"/>
      <c r="E458" s="3"/>
      <c r="F458" s="3"/>
      <c r="G458" s="3"/>
      <c r="H458" s="3"/>
      <c r="I458" s="3"/>
      <c r="J458" s="3"/>
      <c r="K458" s="3"/>
    </row>
    <row r="459" ht="15.75" customHeight="1">
      <c r="A459" s="3"/>
      <c r="B459" s="3"/>
      <c r="C459" s="3"/>
      <c r="D459" s="3"/>
      <c r="E459" s="3"/>
      <c r="F459" s="3"/>
      <c r="G459" s="3"/>
      <c r="H459" s="3"/>
      <c r="I459" s="3"/>
      <c r="J459" s="3"/>
      <c r="K459" s="3"/>
    </row>
    <row r="460" ht="15.75" customHeight="1">
      <c r="A460" s="3"/>
      <c r="B460" s="3"/>
      <c r="C460" s="3"/>
      <c r="D460" s="3"/>
      <c r="E460" s="3"/>
      <c r="F460" s="3"/>
      <c r="G460" s="3"/>
      <c r="H460" s="3"/>
      <c r="I460" s="3"/>
      <c r="J460" s="3"/>
      <c r="K460" s="3"/>
    </row>
    <row r="461" ht="15.75" customHeight="1">
      <c r="A461" s="3"/>
      <c r="B461" s="3"/>
      <c r="C461" s="3"/>
      <c r="D461" s="3"/>
      <c r="E461" s="3"/>
      <c r="F461" s="3"/>
      <c r="G461" s="3"/>
      <c r="H461" s="3"/>
      <c r="I461" s="3"/>
      <c r="J461" s="3"/>
      <c r="K461" s="3"/>
    </row>
    <row r="462" ht="15.75" customHeight="1">
      <c r="A462" s="3"/>
      <c r="B462" s="3"/>
      <c r="C462" s="3"/>
      <c r="D462" s="3"/>
      <c r="E462" s="3"/>
      <c r="F462" s="3"/>
      <c r="G462" s="3"/>
      <c r="H462" s="3"/>
      <c r="I462" s="3"/>
      <c r="J462" s="3"/>
      <c r="K462" s="3"/>
    </row>
    <row r="463" ht="15.75" customHeight="1">
      <c r="A463" s="3"/>
      <c r="B463" s="3"/>
      <c r="C463" s="3"/>
      <c r="D463" s="3"/>
      <c r="E463" s="3"/>
      <c r="F463" s="3"/>
      <c r="G463" s="3"/>
      <c r="H463" s="3"/>
      <c r="I463" s="3"/>
      <c r="J463" s="3"/>
      <c r="K463" s="3"/>
    </row>
    <row r="464" ht="15.75" customHeight="1">
      <c r="A464" s="3"/>
      <c r="B464" s="3"/>
      <c r="C464" s="3"/>
      <c r="D464" s="3"/>
      <c r="E464" s="3"/>
      <c r="F464" s="3"/>
      <c r="G464" s="3"/>
      <c r="H464" s="3"/>
      <c r="I464" s="3"/>
      <c r="J464" s="3"/>
      <c r="K464" s="3"/>
    </row>
    <row r="465" ht="15.75" customHeight="1">
      <c r="A465" s="3"/>
      <c r="B465" s="3"/>
      <c r="C465" s="3"/>
      <c r="D465" s="3"/>
      <c r="E465" s="3"/>
      <c r="F465" s="3"/>
      <c r="G465" s="3"/>
      <c r="H465" s="3"/>
      <c r="I465" s="3"/>
      <c r="J465" s="3"/>
      <c r="K465" s="3"/>
    </row>
    <row r="466" ht="15.75" customHeight="1">
      <c r="A466" s="3"/>
      <c r="B466" s="3"/>
      <c r="C466" s="3"/>
      <c r="D466" s="3"/>
      <c r="E466" s="3"/>
      <c r="F466" s="3"/>
      <c r="G466" s="3"/>
      <c r="H466" s="3"/>
      <c r="I466" s="3"/>
      <c r="J466" s="3"/>
      <c r="K466" s="3"/>
    </row>
    <row r="467" ht="15.75" customHeight="1">
      <c r="A467" s="3"/>
      <c r="B467" s="3"/>
      <c r="C467" s="3"/>
      <c r="D467" s="3"/>
      <c r="E467" s="3"/>
      <c r="F467" s="3"/>
      <c r="G467" s="3"/>
      <c r="H467" s="3"/>
      <c r="I467" s="3"/>
      <c r="J467" s="3"/>
      <c r="K467" s="3"/>
    </row>
    <row r="468" ht="15.75" customHeight="1">
      <c r="A468" s="3"/>
      <c r="B468" s="3"/>
      <c r="C468" s="3"/>
      <c r="D468" s="3"/>
      <c r="E468" s="3"/>
      <c r="F468" s="3"/>
      <c r="G468" s="3"/>
      <c r="H468" s="3"/>
      <c r="I468" s="3"/>
      <c r="J468" s="3"/>
      <c r="K468" s="3"/>
    </row>
    <row r="469" ht="15.75" customHeight="1">
      <c r="A469" s="3"/>
      <c r="B469" s="3"/>
      <c r="C469" s="3"/>
      <c r="D469" s="3"/>
      <c r="E469" s="3"/>
      <c r="F469" s="3"/>
      <c r="G469" s="3"/>
      <c r="H469" s="3"/>
      <c r="I469" s="3"/>
      <c r="J469" s="3"/>
      <c r="K469" s="3"/>
    </row>
    <row r="470" ht="15.75" customHeight="1">
      <c r="A470" s="3"/>
      <c r="B470" s="3"/>
      <c r="C470" s="3"/>
      <c r="D470" s="3"/>
      <c r="E470" s="3"/>
      <c r="F470" s="3"/>
      <c r="G470" s="3"/>
      <c r="H470" s="3"/>
      <c r="I470" s="3"/>
      <c r="J470" s="3"/>
      <c r="K470" s="3"/>
    </row>
    <row r="471" ht="15.75" customHeight="1">
      <c r="A471" s="3"/>
      <c r="B471" s="3"/>
      <c r="C471" s="3"/>
      <c r="D471" s="3"/>
      <c r="E471" s="3"/>
      <c r="F471" s="3"/>
      <c r="G471" s="3"/>
      <c r="H471" s="3"/>
      <c r="I471" s="3"/>
      <c r="J471" s="3"/>
      <c r="K471" s="3"/>
    </row>
    <row r="472" ht="15.75" customHeight="1">
      <c r="A472" s="3"/>
      <c r="B472" s="3"/>
      <c r="C472" s="3"/>
      <c r="D472" s="3"/>
      <c r="E472" s="3"/>
      <c r="F472" s="3"/>
      <c r="G472" s="3"/>
      <c r="H472" s="3"/>
      <c r="I472" s="3"/>
      <c r="J472" s="3"/>
      <c r="K472" s="3"/>
    </row>
    <row r="473" ht="15.75" customHeight="1">
      <c r="A473" s="3"/>
      <c r="B473" s="3"/>
      <c r="C473" s="3"/>
      <c r="D473" s="3"/>
      <c r="E473" s="3"/>
      <c r="F473" s="3"/>
      <c r="G473" s="3"/>
      <c r="H473" s="3"/>
      <c r="I473" s="3"/>
      <c r="J473" s="3"/>
      <c r="K473" s="3"/>
    </row>
    <row r="474" ht="15.75" customHeight="1">
      <c r="A474" s="3"/>
      <c r="B474" s="3"/>
      <c r="C474" s="3"/>
      <c r="D474" s="3"/>
      <c r="E474" s="3"/>
      <c r="F474" s="3"/>
      <c r="G474" s="3"/>
      <c r="H474" s="3"/>
      <c r="I474" s="3"/>
      <c r="J474" s="3"/>
      <c r="K474" s="3"/>
    </row>
    <row r="475" ht="15.75" customHeight="1">
      <c r="A475" s="3"/>
      <c r="B475" s="3"/>
      <c r="C475" s="3"/>
      <c r="D475" s="3"/>
      <c r="E475" s="3"/>
      <c r="F475" s="3"/>
      <c r="G475" s="3"/>
      <c r="H475" s="3"/>
      <c r="I475" s="3"/>
      <c r="J475" s="3"/>
      <c r="K475" s="3"/>
    </row>
    <row r="476" ht="15.75" customHeight="1">
      <c r="A476" s="3"/>
      <c r="B476" s="3"/>
      <c r="C476" s="3"/>
      <c r="D476" s="3"/>
      <c r="E476" s="3"/>
      <c r="F476" s="3"/>
      <c r="G476" s="3"/>
      <c r="H476" s="3"/>
      <c r="I476" s="3"/>
      <c r="J476" s="3"/>
      <c r="K476" s="3"/>
    </row>
    <row r="477" ht="15.75" customHeight="1">
      <c r="A477" s="3"/>
      <c r="B477" s="3"/>
      <c r="C477" s="3"/>
      <c r="D477" s="3"/>
      <c r="E477" s="3"/>
      <c r="F477" s="3"/>
      <c r="G477" s="3"/>
      <c r="H477" s="3"/>
      <c r="I477" s="3"/>
      <c r="J477" s="3"/>
      <c r="K477" s="3"/>
    </row>
    <row r="478" ht="15.75" customHeight="1">
      <c r="A478" s="3"/>
      <c r="B478" s="3"/>
      <c r="C478" s="3"/>
      <c r="D478" s="3"/>
      <c r="E478" s="3"/>
      <c r="F478" s="3"/>
      <c r="G478" s="3"/>
      <c r="H478" s="3"/>
      <c r="I478" s="3"/>
      <c r="J478" s="3"/>
      <c r="K478" s="3"/>
    </row>
    <row r="479" ht="15.75" customHeight="1">
      <c r="A479" s="3"/>
      <c r="B479" s="3"/>
      <c r="C479" s="3"/>
      <c r="D479" s="3"/>
      <c r="E479" s="3"/>
      <c r="F479" s="3"/>
      <c r="G479" s="3"/>
      <c r="H479" s="3"/>
      <c r="I479" s="3"/>
      <c r="J479" s="3"/>
      <c r="K479" s="3"/>
    </row>
    <row r="480" ht="15.75" customHeight="1">
      <c r="A480" s="3"/>
      <c r="B480" s="3"/>
      <c r="C480" s="3"/>
      <c r="D480" s="3"/>
      <c r="E480" s="3"/>
      <c r="F480" s="3"/>
      <c r="G480" s="3"/>
      <c r="H480" s="3"/>
      <c r="I480" s="3"/>
      <c r="J480" s="3"/>
      <c r="K480" s="3"/>
    </row>
    <row r="481" ht="15.75" customHeight="1">
      <c r="A481" s="3"/>
      <c r="B481" s="3"/>
      <c r="C481" s="3"/>
      <c r="D481" s="3"/>
      <c r="E481" s="3"/>
      <c r="F481" s="3"/>
      <c r="G481" s="3"/>
      <c r="H481" s="3"/>
      <c r="I481" s="3"/>
      <c r="J481" s="3"/>
      <c r="K481" s="3"/>
    </row>
    <row r="482" ht="15.75" customHeight="1">
      <c r="A482" s="3"/>
      <c r="B482" s="3"/>
      <c r="C482" s="3"/>
      <c r="D482" s="3"/>
      <c r="E482" s="3"/>
      <c r="F482" s="3"/>
      <c r="G482" s="3"/>
      <c r="H482" s="3"/>
      <c r="I482" s="3"/>
      <c r="J482" s="3"/>
      <c r="K482" s="3"/>
    </row>
    <row r="483" ht="15.75" customHeight="1">
      <c r="A483" s="3"/>
      <c r="B483" s="3"/>
      <c r="C483" s="3"/>
      <c r="D483" s="3"/>
      <c r="E483" s="3"/>
      <c r="F483" s="3"/>
      <c r="G483" s="3"/>
      <c r="H483" s="3"/>
      <c r="I483" s="3"/>
      <c r="J483" s="3"/>
      <c r="K483" s="3"/>
    </row>
    <row r="484" ht="15.75" customHeight="1">
      <c r="A484" s="3"/>
      <c r="B484" s="3"/>
      <c r="C484" s="3"/>
      <c r="D484" s="3"/>
      <c r="E484" s="3"/>
      <c r="F484" s="3"/>
      <c r="G484" s="3"/>
      <c r="H484" s="3"/>
      <c r="I484" s="3"/>
      <c r="J484" s="3"/>
      <c r="K484" s="3"/>
    </row>
    <row r="485" ht="15.75" customHeight="1">
      <c r="A485" s="3"/>
      <c r="B485" s="3"/>
      <c r="C485" s="3"/>
      <c r="D485" s="3"/>
      <c r="E485" s="3"/>
      <c r="F485" s="3"/>
      <c r="G485" s="3"/>
      <c r="H485" s="3"/>
      <c r="I485" s="3"/>
      <c r="J485" s="3"/>
      <c r="K485" s="3"/>
    </row>
    <row r="486" ht="15.75" customHeight="1">
      <c r="A486" s="3"/>
      <c r="B486" s="3"/>
      <c r="C486" s="3"/>
      <c r="D486" s="3"/>
      <c r="E486" s="3"/>
      <c r="F486" s="3"/>
      <c r="G486" s="3"/>
      <c r="H486" s="3"/>
      <c r="I486" s="3"/>
      <c r="J486" s="3"/>
      <c r="K486" s="3"/>
    </row>
    <row r="487" ht="15.75" customHeight="1">
      <c r="A487" s="3"/>
      <c r="B487" s="3"/>
      <c r="C487" s="3"/>
      <c r="D487" s="3"/>
      <c r="E487" s="3"/>
      <c r="F487" s="3"/>
      <c r="G487" s="3"/>
      <c r="H487" s="3"/>
      <c r="I487" s="3"/>
      <c r="J487" s="3"/>
      <c r="K487" s="3"/>
    </row>
    <row r="488" ht="15.75" customHeight="1">
      <c r="A488" s="3"/>
      <c r="B488" s="3"/>
      <c r="C488" s="3"/>
      <c r="D488" s="3"/>
      <c r="E488" s="3"/>
      <c r="F488" s="3"/>
      <c r="G488" s="3"/>
      <c r="H488" s="3"/>
      <c r="I488" s="3"/>
      <c r="J488" s="3"/>
      <c r="K488" s="3"/>
    </row>
    <row r="489" ht="15.75" customHeight="1">
      <c r="A489" s="3"/>
      <c r="B489" s="3"/>
      <c r="C489" s="3"/>
      <c r="D489" s="3"/>
      <c r="E489" s="3"/>
      <c r="F489" s="3"/>
      <c r="G489" s="3"/>
      <c r="H489" s="3"/>
      <c r="I489" s="3"/>
      <c r="J489" s="3"/>
      <c r="K489" s="3"/>
    </row>
    <row r="490" ht="15.75" customHeight="1">
      <c r="A490" s="3"/>
      <c r="B490" s="3"/>
      <c r="C490" s="3"/>
      <c r="D490" s="3"/>
      <c r="E490" s="3"/>
      <c r="F490" s="3"/>
      <c r="G490" s="3"/>
      <c r="H490" s="3"/>
      <c r="I490" s="3"/>
      <c r="J490" s="3"/>
      <c r="K490" s="3"/>
    </row>
    <row r="491" ht="15.75" customHeight="1">
      <c r="A491" s="3"/>
      <c r="B491" s="3"/>
      <c r="C491" s="3"/>
      <c r="D491" s="3"/>
      <c r="E491" s="3"/>
      <c r="F491" s="3"/>
      <c r="G491" s="3"/>
      <c r="H491" s="3"/>
      <c r="I491" s="3"/>
      <c r="J491" s="3"/>
      <c r="K491" s="3"/>
    </row>
    <row r="492" ht="15.75" customHeight="1">
      <c r="A492" s="3"/>
      <c r="B492" s="3"/>
      <c r="C492" s="3"/>
      <c r="D492" s="3"/>
      <c r="E492" s="3"/>
      <c r="F492" s="3"/>
      <c r="G492" s="3"/>
      <c r="H492" s="3"/>
      <c r="I492" s="3"/>
      <c r="J492" s="3"/>
      <c r="K492" s="3"/>
    </row>
    <row r="493" ht="15.75" customHeight="1">
      <c r="A493" s="3"/>
      <c r="B493" s="3"/>
      <c r="C493" s="3"/>
      <c r="D493" s="3"/>
      <c r="E493" s="3"/>
      <c r="F493" s="3"/>
      <c r="G493" s="3"/>
      <c r="H493" s="3"/>
      <c r="I493" s="3"/>
      <c r="J493" s="3"/>
      <c r="K493" s="3"/>
    </row>
    <row r="494" ht="15.75" customHeight="1">
      <c r="A494" s="3"/>
      <c r="B494" s="3"/>
      <c r="C494" s="3"/>
      <c r="D494" s="3"/>
      <c r="E494" s="3"/>
      <c r="F494" s="3"/>
      <c r="G494" s="3"/>
      <c r="H494" s="3"/>
      <c r="I494" s="3"/>
      <c r="J494" s="3"/>
      <c r="K494" s="3"/>
    </row>
    <row r="495" ht="15.75" customHeight="1">
      <c r="A495" s="3"/>
      <c r="B495" s="3"/>
      <c r="C495" s="3"/>
      <c r="D495" s="3"/>
      <c r="E495" s="3"/>
      <c r="F495" s="3"/>
      <c r="G495" s="3"/>
      <c r="H495" s="3"/>
      <c r="I495" s="3"/>
      <c r="J495" s="3"/>
      <c r="K495" s="3"/>
    </row>
    <row r="496" ht="15.75" customHeight="1">
      <c r="A496" s="3"/>
      <c r="B496" s="3"/>
      <c r="C496" s="3"/>
      <c r="D496" s="3"/>
      <c r="E496" s="3"/>
      <c r="F496" s="3"/>
      <c r="G496" s="3"/>
      <c r="H496" s="3"/>
      <c r="I496" s="3"/>
      <c r="J496" s="3"/>
      <c r="K496" s="3"/>
    </row>
    <row r="497" ht="15.75" customHeight="1">
      <c r="A497" s="3"/>
      <c r="B497" s="3"/>
      <c r="C497" s="3"/>
      <c r="D497" s="3"/>
      <c r="E497" s="3"/>
      <c r="F497" s="3"/>
      <c r="G497" s="3"/>
      <c r="H497" s="3"/>
      <c r="I497" s="3"/>
      <c r="J497" s="3"/>
      <c r="K497" s="3"/>
    </row>
    <row r="498" ht="15.75" customHeight="1">
      <c r="A498" s="3"/>
      <c r="B498" s="3"/>
      <c r="C498" s="3"/>
      <c r="D498" s="3"/>
      <c r="E498" s="3"/>
      <c r="F498" s="3"/>
      <c r="G498" s="3"/>
      <c r="H498" s="3"/>
      <c r="I498" s="3"/>
      <c r="J498" s="3"/>
      <c r="K498" s="3"/>
    </row>
    <row r="499" ht="15.75" customHeight="1">
      <c r="A499" s="3"/>
      <c r="B499" s="3"/>
      <c r="C499" s="3"/>
      <c r="D499" s="3"/>
      <c r="E499" s="3"/>
      <c r="F499" s="3"/>
      <c r="G499" s="3"/>
      <c r="H499" s="3"/>
      <c r="I499" s="3"/>
      <c r="J499" s="3"/>
      <c r="K499" s="3"/>
    </row>
    <row r="500" ht="15.75" customHeight="1">
      <c r="A500" s="3"/>
      <c r="B500" s="3"/>
      <c r="C500" s="3"/>
      <c r="D500" s="3"/>
      <c r="E500" s="3"/>
      <c r="F500" s="3"/>
      <c r="G500" s="3"/>
      <c r="H500" s="3"/>
      <c r="I500" s="3"/>
      <c r="J500" s="3"/>
      <c r="K500" s="3"/>
    </row>
    <row r="501" ht="15.75" customHeight="1">
      <c r="A501" s="3"/>
      <c r="B501" s="3"/>
      <c r="C501" s="3"/>
      <c r="D501" s="3"/>
      <c r="E501" s="3"/>
      <c r="F501" s="3"/>
      <c r="G501" s="3"/>
      <c r="H501" s="3"/>
      <c r="I501" s="3"/>
      <c r="J501" s="3"/>
      <c r="K501" s="3"/>
    </row>
    <row r="502" ht="15.75" customHeight="1">
      <c r="A502" s="3"/>
      <c r="B502" s="3"/>
      <c r="C502" s="3"/>
      <c r="D502" s="3"/>
      <c r="E502" s="3"/>
      <c r="F502" s="3"/>
      <c r="G502" s="3"/>
      <c r="H502" s="3"/>
      <c r="I502" s="3"/>
      <c r="J502" s="3"/>
      <c r="K502" s="3"/>
    </row>
    <row r="503" ht="15.75" customHeight="1">
      <c r="A503" s="3"/>
      <c r="B503" s="3"/>
      <c r="C503" s="3"/>
      <c r="D503" s="3"/>
      <c r="E503" s="3"/>
      <c r="F503" s="3"/>
      <c r="G503" s="3"/>
      <c r="H503" s="3"/>
      <c r="I503" s="3"/>
      <c r="J503" s="3"/>
      <c r="K503" s="3"/>
    </row>
    <row r="504" ht="15.75" customHeight="1">
      <c r="A504" s="3"/>
      <c r="B504" s="3"/>
      <c r="C504" s="3"/>
      <c r="D504" s="3"/>
      <c r="E504" s="3"/>
      <c r="F504" s="3"/>
      <c r="G504" s="3"/>
      <c r="H504" s="3"/>
      <c r="I504" s="3"/>
      <c r="J504" s="3"/>
      <c r="K504" s="3"/>
    </row>
    <row r="505" ht="15.75" customHeight="1">
      <c r="A505" s="3"/>
      <c r="B505" s="3"/>
      <c r="C505" s="3"/>
      <c r="D505" s="3"/>
      <c r="E505" s="3"/>
      <c r="F505" s="3"/>
      <c r="G505" s="3"/>
      <c r="H505" s="3"/>
      <c r="I505" s="3"/>
      <c r="J505" s="3"/>
      <c r="K505" s="3"/>
    </row>
    <row r="506" ht="15.75" customHeight="1">
      <c r="A506" s="3"/>
      <c r="B506" s="3"/>
      <c r="C506" s="3"/>
      <c r="D506" s="3"/>
      <c r="E506" s="3"/>
      <c r="F506" s="3"/>
      <c r="G506" s="3"/>
      <c r="H506" s="3"/>
      <c r="I506" s="3"/>
      <c r="J506" s="3"/>
      <c r="K506" s="3"/>
    </row>
    <row r="507" ht="15.75" customHeight="1">
      <c r="A507" s="3"/>
      <c r="B507" s="3"/>
      <c r="C507" s="3"/>
      <c r="D507" s="3"/>
      <c r="E507" s="3"/>
      <c r="F507" s="3"/>
      <c r="G507" s="3"/>
      <c r="H507" s="3"/>
      <c r="I507" s="3"/>
      <c r="J507" s="3"/>
      <c r="K507" s="3"/>
    </row>
    <row r="508" ht="15.75" customHeight="1">
      <c r="A508" s="3"/>
      <c r="B508" s="3"/>
      <c r="C508" s="3"/>
      <c r="D508" s="3"/>
      <c r="E508" s="3"/>
      <c r="F508" s="3"/>
      <c r="G508" s="3"/>
      <c r="H508" s="3"/>
      <c r="I508" s="3"/>
      <c r="J508" s="3"/>
      <c r="K508" s="3"/>
    </row>
    <row r="509" ht="15.75" customHeight="1">
      <c r="A509" s="3"/>
      <c r="B509" s="3"/>
      <c r="C509" s="3"/>
      <c r="D509" s="3"/>
      <c r="E509" s="3"/>
      <c r="F509" s="3"/>
      <c r="G509" s="3"/>
      <c r="H509" s="3"/>
      <c r="I509" s="3"/>
      <c r="J509" s="3"/>
      <c r="K509" s="3"/>
    </row>
    <row r="510" ht="15.75" customHeight="1">
      <c r="A510" s="3"/>
      <c r="B510" s="3"/>
      <c r="C510" s="3"/>
      <c r="D510" s="3"/>
      <c r="E510" s="3"/>
      <c r="F510" s="3"/>
      <c r="G510" s="3"/>
      <c r="H510" s="3"/>
      <c r="I510" s="3"/>
      <c r="J510" s="3"/>
      <c r="K510" s="3"/>
    </row>
    <row r="511" ht="15.75" customHeight="1">
      <c r="A511" s="3"/>
      <c r="B511" s="3"/>
      <c r="C511" s="3"/>
      <c r="D511" s="3"/>
      <c r="E511" s="3"/>
      <c r="F511" s="3"/>
      <c r="G511" s="3"/>
      <c r="H511" s="3"/>
      <c r="I511" s="3"/>
      <c r="J511" s="3"/>
      <c r="K511" s="3"/>
    </row>
    <row r="512" ht="15.75" customHeight="1">
      <c r="A512" s="3"/>
      <c r="B512" s="3"/>
      <c r="C512" s="3"/>
      <c r="D512" s="3"/>
      <c r="E512" s="3"/>
      <c r="F512" s="3"/>
      <c r="G512" s="3"/>
      <c r="H512" s="3"/>
      <c r="I512" s="3"/>
      <c r="J512" s="3"/>
      <c r="K512" s="3"/>
    </row>
    <row r="513" ht="15.75" customHeight="1">
      <c r="A513" s="3"/>
      <c r="B513" s="3"/>
      <c r="C513" s="3"/>
      <c r="D513" s="3"/>
      <c r="E513" s="3"/>
      <c r="F513" s="3"/>
      <c r="G513" s="3"/>
      <c r="H513" s="3"/>
      <c r="I513" s="3"/>
      <c r="J513" s="3"/>
      <c r="K513" s="3"/>
    </row>
    <row r="514" ht="15.75" customHeight="1">
      <c r="A514" s="3"/>
      <c r="B514" s="3"/>
      <c r="C514" s="3"/>
      <c r="D514" s="3"/>
      <c r="E514" s="3"/>
      <c r="F514" s="3"/>
      <c r="G514" s="3"/>
      <c r="H514" s="3"/>
      <c r="I514" s="3"/>
      <c r="J514" s="3"/>
      <c r="K514" s="3"/>
    </row>
    <row r="515" ht="15.75" customHeight="1">
      <c r="A515" s="3"/>
      <c r="B515" s="3"/>
      <c r="C515" s="3"/>
      <c r="D515" s="3"/>
      <c r="E515" s="3"/>
      <c r="F515" s="3"/>
      <c r="G515" s="3"/>
      <c r="H515" s="3"/>
      <c r="I515" s="3"/>
      <c r="J515" s="3"/>
      <c r="K515" s="3"/>
    </row>
    <row r="516" ht="15.75" customHeight="1">
      <c r="A516" s="3"/>
      <c r="B516" s="3"/>
      <c r="C516" s="3"/>
      <c r="D516" s="3"/>
      <c r="E516" s="3"/>
      <c r="F516" s="3"/>
      <c r="G516" s="3"/>
      <c r="H516" s="3"/>
      <c r="I516" s="3"/>
      <c r="J516" s="3"/>
      <c r="K516" s="3"/>
    </row>
    <row r="517" ht="15.75" customHeight="1">
      <c r="A517" s="3"/>
      <c r="B517" s="3"/>
      <c r="C517" s="3"/>
      <c r="D517" s="3"/>
      <c r="E517" s="3"/>
      <c r="F517" s="3"/>
      <c r="G517" s="3"/>
      <c r="H517" s="3"/>
      <c r="I517" s="3"/>
      <c r="J517" s="3"/>
      <c r="K517" s="3"/>
    </row>
    <row r="518" ht="15.75" customHeight="1">
      <c r="A518" s="3"/>
      <c r="B518" s="3"/>
      <c r="C518" s="3"/>
      <c r="D518" s="3"/>
      <c r="E518" s="3"/>
      <c r="F518" s="3"/>
      <c r="G518" s="3"/>
      <c r="H518" s="3"/>
      <c r="I518" s="3"/>
      <c r="J518" s="3"/>
      <c r="K518" s="3"/>
    </row>
    <row r="519" ht="15.75" customHeight="1">
      <c r="A519" s="3"/>
      <c r="B519" s="3"/>
      <c r="C519" s="3"/>
      <c r="D519" s="3"/>
      <c r="E519" s="3"/>
      <c r="F519" s="3"/>
      <c r="G519" s="3"/>
      <c r="H519" s="3"/>
      <c r="I519" s="3"/>
      <c r="J519" s="3"/>
      <c r="K519" s="3"/>
    </row>
    <row r="520" ht="15.75" customHeight="1">
      <c r="A520" s="3"/>
      <c r="B520" s="3"/>
      <c r="C520" s="3"/>
      <c r="D520" s="3"/>
      <c r="E520" s="3"/>
      <c r="F520" s="3"/>
      <c r="G520" s="3"/>
      <c r="H520" s="3"/>
      <c r="I520" s="3"/>
      <c r="J520" s="3"/>
      <c r="K520" s="3"/>
    </row>
    <row r="521" ht="15.75" customHeight="1">
      <c r="A521" s="3"/>
      <c r="B521" s="3"/>
      <c r="C521" s="3"/>
      <c r="D521" s="3"/>
      <c r="E521" s="3"/>
      <c r="F521" s="3"/>
      <c r="G521" s="3"/>
      <c r="H521" s="3"/>
      <c r="I521" s="3"/>
      <c r="J521" s="3"/>
      <c r="K521" s="3"/>
    </row>
    <row r="522" ht="15.75" customHeight="1">
      <c r="A522" s="3"/>
      <c r="B522" s="3"/>
      <c r="C522" s="3"/>
      <c r="D522" s="3"/>
      <c r="E522" s="3"/>
      <c r="F522" s="3"/>
      <c r="G522" s="3"/>
      <c r="H522" s="3"/>
      <c r="I522" s="3"/>
      <c r="J522" s="3"/>
      <c r="K522" s="3"/>
    </row>
    <row r="523" ht="15.75" customHeight="1">
      <c r="A523" s="3"/>
      <c r="B523" s="3"/>
      <c r="C523" s="3"/>
      <c r="D523" s="3"/>
      <c r="E523" s="3"/>
      <c r="F523" s="3"/>
      <c r="G523" s="3"/>
      <c r="H523" s="3"/>
      <c r="I523" s="3"/>
      <c r="J523" s="3"/>
      <c r="K523" s="3"/>
    </row>
    <row r="524" ht="15.75" customHeight="1">
      <c r="A524" s="3"/>
      <c r="B524" s="3"/>
      <c r="C524" s="3"/>
      <c r="D524" s="3"/>
      <c r="E524" s="3"/>
      <c r="F524" s="3"/>
      <c r="G524" s="3"/>
      <c r="H524" s="3"/>
      <c r="I524" s="3"/>
      <c r="J524" s="3"/>
      <c r="K524" s="3"/>
    </row>
    <row r="525" ht="15.75" customHeight="1">
      <c r="A525" s="3"/>
      <c r="B525" s="3"/>
      <c r="C525" s="3"/>
      <c r="D525" s="3"/>
      <c r="E525" s="3"/>
      <c r="F525" s="3"/>
      <c r="G525" s="3"/>
      <c r="H525" s="3"/>
      <c r="I525" s="3"/>
      <c r="J525" s="3"/>
      <c r="K525" s="3"/>
    </row>
    <row r="526" ht="15.75" customHeight="1">
      <c r="A526" s="3"/>
      <c r="B526" s="3"/>
      <c r="C526" s="3"/>
      <c r="D526" s="3"/>
      <c r="E526" s="3"/>
      <c r="F526" s="3"/>
      <c r="G526" s="3"/>
      <c r="H526" s="3"/>
      <c r="I526" s="3"/>
      <c r="J526" s="3"/>
      <c r="K526" s="3"/>
    </row>
    <row r="527" ht="15.75" customHeight="1">
      <c r="A527" s="3"/>
      <c r="B527" s="3"/>
      <c r="C527" s="3"/>
      <c r="D527" s="3"/>
      <c r="E527" s="3"/>
      <c r="F527" s="3"/>
      <c r="G527" s="3"/>
      <c r="H527" s="3"/>
      <c r="I527" s="3"/>
      <c r="J527" s="3"/>
      <c r="K527" s="3"/>
    </row>
    <row r="528" ht="15.75" customHeight="1">
      <c r="A528" s="3"/>
      <c r="B528" s="3"/>
      <c r="C528" s="3"/>
      <c r="D528" s="3"/>
      <c r="E528" s="3"/>
      <c r="F528" s="3"/>
      <c r="G528" s="3"/>
      <c r="H528" s="3"/>
      <c r="I528" s="3"/>
      <c r="J528" s="3"/>
      <c r="K528" s="3"/>
    </row>
    <row r="529" ht="15.75" customHeight="1">
      <c r="A529" s="3"/>
      <c r="B529" s="3"/>
      <c r="C529" s="3"/>
      <c r="D529" s="3"/>
      <c r="E529" s="3"/>
      <c r="F529" s="3"/>
      <c r="G529" s="3"/>
      <c r="H529" s="3"/>
      <c r="I529" s="3"/>
      <c r="J529" s="3"/>
      <c r="K529" s="3"/>
    </row>
    <row r="530" ht="15.75" customHeight="1">
      <c r="A530" s="3"/>
      <c r="B530" s="3"/>
      <c r="C530" s="3"/>
      <c r="D530" s="3"/>
      <c r="E530" s="3"/>
      <c r="F530" s="3"/>
      <c r="G530" s="3"/>
      <c r="H530" s="3"/>
      <c r="I530" s="3"/>
      <c r="J530" s="3"/>
      <c r="K530" s="3"/>
    </row>
    <row r="531" ht="15.75" customHeight="1">
      <c r="A531" s="3"/>
      <c r="B531" s="3"/>
      <c r="C531" s="3"/>
      <c r="D531" s="3"/>
      <c r="E531" s="3"/>
      <c r="F531" s="3"/>
      <c r="G531" s="3"/>
      <c r="H531" s="3"/>
      <c r="I531" s="3"/>
      <c r="J531" s="3"/>
      <c r="K531" s="3"/>
    </row>
    <row r="532" ht="15.75" customHeight="1">
      <c r="A532" s="3"/>
      <c r="B532" s="3"/>
      <c r="C532" s="3"/>
      <c r="D532" s="3"/>
      <c r="E532" s="3"/>
      <c r="F532" s="3"/>
      <c r="G532" s="3"/>
      <c r="H532" s="3"/>
      <c r="I532" s="3"/>
      <c r="J532" s="3"/>
      <c r="K532" s="3"/>
    </row>
    <row r="533" ht="15.75" customHeight="1">
      <c r="A533" s="3"/>
      <c r="B533" s="3"/>
      <c r="C533" s="3"/>
      <c r="D533" s="3"/>
      <c r="E533" s="3"/>
      <c r="F533" s="3"/>
      <c r="G533" s="3"/>
      <c r="H533" s="3"/>
      <c r="I533" s="3"/>
      <c r="J533" s="3"/>
      <c r="K533" s="3"/>
    </row>
    <row r="534" ht="15.75" customHeight="1">
      <c r="A534" s="3"/>
      <c r="B534" s="3"/>
      <c r="C534" s="3"/>
      <c r="D534" s="3"/>
      <c r="E534" s="3"/>
      <c r="F534" s="3"/>
      <c r="G534" s="3"/>
      <c r="H534" s="3"/>
      <c r="I534" s="3"/>
      <c r="J534" s="3"/>
      <c r="K534" s="3"/>
    </row>
    <row r="535" ht="15.75" customHeight="1">
      <c r="A535" s="3"/>
      <c r="B535" s="3"/>
      <c r="C535" s="3"/>
      <c r="D535" s="3"/>
      <c r="E535" s="3"/>
      <c r="F535" s="3"/>
      <c r="G535" s="3"/>
      <c r="H535" s="3"/>
      <c r="I535" s="3"/>
      <c r="J535" s="3"/>
      <c r="K535" s="3"/>
    </row>
    <row r="536" ht="15.75" customHeight="1">
      <c r="A536" s="3"/>
      <c r="B536" s="3"/>
      <c r="C536" s="3"/>
      <c r="D536" s="3"/>
      <c r="E536" s="3"/>
      <c r="F536" s="3"/>
      <c r="G536" s="3"/>
      <c r="H536" s="3"/>
      <c r="I536" s="3"/>
      <c r="J536" s="3"/>
      <c r="K536" s="3"/>
    </row>
    <row r="537" ht="15.75" customHeight="1">
      <c r="A537" s="3"/>
      <c r="B537" s="3"/>
      <c r="C537" s="3"/>
      <c r="D537" s="3"/>
      <c r="E537" s="3"/>
      <c r="F537" s="3"/>
      <c r="G537" s="3"/>
      <c r="H537" s="3"/>
      <c r="I537" s="3"/>
      <c r="J537" s="3"/>
      <c r="K537" s="3"/>
    </row>
    <row r="538" ht="15.75" customHeight="1">
      <c r="A538" s="3"/>
      <c r="B538" s="3"/>
      <c r="C538" s="3"/>
      <c r="D538" s="3"/>
      <c r="E538" s="3"/>
      <c r="F538" s="3"/>
      <c r="G538" s="3"/>
      <c r="H538" s="3"/>
      <c r="I538" s="3"/>
      <c r="J538" s="3"/>
      <c r="K538" s="3"/>
    </row>
    <row r="539" ht="15.75" customHeight="1">
      <c r="A539" s="3"/>
      <c r="B539" s="3"/>
      <c r="C539" s="3"/>
      <c r="D539" s="3"/>
      <c r="E539" s="3"/>
      <c r="F539" s="3"/>
      <c r="G539" s="3"/>
      <c r="H539" s="3"/>
      <c r="I539" s="3"/>
      <c r="J539" s="3"/>
      <c r="K539" s="3"/>
    </row>
    <row r="540" ht="15.75" customHeight="1">
      <c r="A540" s="3"/>
      <c r="B540" s="3"/>
      <c r="C540" s="3"/>
      <c r="D540" s="3"/>
      <c r="E540" s="3"/>
      <c r="F540" s="3"/>
      <c r="G540" s="3"/>
      <c r="H540" s="3"/>
      <c r="I540" s="3"/>
      <c r="J540" s="3"/>
      <c r="K540" s="3"/>
    </row>
    <row r="541" ht="15.75" customHeight="1">
      <c r="A541" s="3"/>
      <c r="B541" s="3"/>
      <c r="C541" s="3"/>
      <c r="D541" s="3"/>
      <c r="E541" s="3"/>
      <c r="F541" s="3"/>
      <c r="G541" s="3"/>
      <c r="H541" s="3"/>
      <c r="I541" s="3"/>
      <c r="J541" s="3"/>
      <c r="K541" s="3"/>
    </row>
    <row r="542" ht="15.75" customHeight="1">
      <c r="A542" s="3"/>
      <c r="B542" s="3"/>
      <c r="C542" s="3"/>
      <c r="D542" s="3"/>
      <c r="E542" s="3"/>
      <c r="F542" s="3"/>
      <c r="G542" s="3"/>
      <c r="H542" s="3"/>
      <c r="I542" s="3"/>
      <c r="J542" s="3"/>
      <c r="K542" s="3"/>
    </row>
    <row r="543" ht="15.75" customHeight="1">
      <c r="A543" s="3"/>
      <c r="B543" s="3"/>
      <c r="C543" s="3"/>
      <c r="D543" s="3"/>
      <c r="E543" s="3"/>
      <c r="F543" s="3"/>
      <c r="G543" s="3"/>
      <c r="H543" s="3"/>
      <c r="I543" s="3"/>
      <c r="J543" s="3"/>
      <c r="K543" s="3"/>
    </row>
    <row r="544" ht="15.75" customHeight="1">
      <c r="A544" s="3"/>
      <c r="B544" s="3"/>
      <c r="C544" s="3"/>
      <c r="D544" s="3"/>
      <c r="E544" s="3"/>
      <c r="F544" s="3"/>
      <c r="G544" s="3"/>
      <c r="H544" s="3"/>
      <c r="I544" s="3"/>
      <c r="J544" s="3"/>
      <c r="K544" s="3"/>
    </row>
    <row r="545" ht="15.75" customHeight="1">
      <c r="A545" s="3"/>
      <c r="B545" s="3"/>
      <c r="C545" s="3"/>
      <c r="D545" s="3"/>
      <c r="E545" s="3"/>
      <c r="F545" s="3"/>
      <c r="G545" s="3"/>
      <c r="H545" s="3"/>
      <c r="I545" s="3"/>
      <c r="J545" s="3"/>
      <c r="K545" s="3"/>
    </row>
    <row r="546" ht="15.75" customHeight="1">
      <c r="A546" s="3"/>
      <c r="B546" s="3"/>
      <c r="C546" s="3"/>
      <c r="D546" s="3"/>
      <c r="E546" s="3"/>
      <c r="F546" s="3"/>
      <c r="G546" s="3"/>
      <c r="H546" s="3"/>
      <c r="I546" s="3"/>
      <c r="J546" s="3"/>
      <c r="K546" s="3"/>
    </row>
    <row r="547" ht="15.75" customHeight="1">
      <c r="A547" s="3"/>
      <c r="B547" s="3"/>
      <c r="C547" s="3"/>
      <c r="D547" s="3"/>
      <c r="E547" s="3"/>
      <c r="F547" s="3"/>
      <c r="G547" s="3"/>
      <c r="H547" s="3"/>
      <c r="I547" s="3"/>
      <c r="J547" s="3"/>
      <c r="K547" s="3"/>
    </row>
    <row r="548" ht="15.75" customHeight="1">
      <c r="A548" s="3"/>
      <c r="B548" s="3"/>
      <c r="C548" s="3"/>
      <c r="D548" s="3"/>
      <c r="E548" s="3"/>
      <c r="F548" s="3"/>
      <c r="G548" s="3"/>
      <c r="H548" s="3"/>
      <c r="I548" s="3"/>
      <c r="J548" s="3"/>
      <c r="K548" s="3"/>
    </row>
    <row r="549" ht="15.75" customHeight="1">
      <c r="A549" s="3"/>
      <c r="B549" s="3"/>
      <c r="C549" s="3"/>
      <c r="D549" s="3"/>
      <c r="E549" s="3"/>
      <c r="F549" s="3"/>
      <c r="G549" s="3"/>
      <c r="H549" s="3"/>
      <c r="I549" s="3"/>
      <c r="J549" s="3"/>
      <c r="K549" s="3"/>
    </row>
    <row r="550" ht="15.75" customHeight="1">
      <c r="A550" s="3"/>
      <c r="B550" s="3"/>
      <c r="C550" s="3"/>
      <c r="D550" s="3"/>
      <c r="E550" s="3"/>
      <c r="F550" s="3"/>
      <c r="G550" s="3"/>
      <c r="H550" s="3"/>
      <c r="I550" s="3"/>
      <c r="J550" s="3"/>
      <c r="K550" s="3"/>
    </row>
    <row r="551" ht="15.75" customHeight="1">
      <c r="A551" s="3"/>
      <c r="B551" s="3"/>
      <c r="C551" s="3"/>
      <c r="D551" s="3"/>
      <c r="E551" s="3"/>
      <c r="F551" s="3"/>
      <c r="G551" s="3"/>
      <c r="H551" s="3"/>
      <c r="I551" s="3"/>
      <c r="J551" s="3"/>
      <c r="K551" s="3"/>
    </row>
    <row r="552" ht="15.75" customHeight="1">
      <c r="A552" s="3"/>
      <c r="B552" s="3"/>
      <c r="C552" s="3"/>
      <c r="D552" s="3"/>
      <c r="E552" s="3"/>
      <c r="F552" s="3"/>
      <c r="G552" s="3"/>
      <c r="H552" s="3"/>
      <c r="I552" s="3"/>
      <c r="J552" s="3"/>
      <c r="K552" s="3"/>
    </row>
    <row r="553" ht="15.75" customHeight="1">
      <c r="A553" s="3"/>
      <c r="B553" s="3"/>
      <c r="C553" s="3"/>
      <c r="D553" s="3"/>
      <c r="E553" s="3"/>
      <c r="F553" s="3"/>
      <c r="G553" s="3"/>
      <c r="H553" s="3"/>
      <c r="I553" s="3"/>
      <c r="J553" s="3"/>
      <c r="K553" s="3"/>
    </row>
    <row r="554" ht="15.75" customHeight="1">
      <c r="A554" s="3"/>
      <c r="B554" s="3"/>
      <c r="C554" s="3"/>
      <c r="D554" s="3"/>
      <c r="E554" s="3"/>
      <c r="F554" s="3"/>
      <c r="G554" s="3"/>
      <c r="H554" s="3"/>
      <c r="I554" s="3"/>
      <c r="J554" s="3"/>
      <c r="K554" s="3"/>
    </row>
    <row r="555" ht="15.75" customHeight="1">
      <c r="A555" s="3"/>
      <c r="B555" s="3"/>
      <c r="C555" s="3"/>
      <c r="D555" s="3"/>
      <c r="E555" s="3"/>
      <c r="F555" s="3"/>
      <c r="G555" s="3"/>
      <c r="H555" s="3"/>
      <c r="I555" s="3"/>
      <c r="J555" s="3"/>
      <c r="K555" s="3"/>
    </row>
    <row r="556" ht="15.75" customHeight="1">
      <c r="A556" s="3"/>
      <c r="B556" s="3"/>
      <c r="C556" s="3"/>
      <c r="D556" s="3"/>
      <c r="E556" s="3"/>
      <c r="F556" s="3"/>
      <c r="G556" s="3"/>
      <c r="H556" s="3"/>
      <c r="I556" s="3"/>
      <c r="J556" s="3"/>
      <c r="K556" s="3"/>
    </row>
    <row r="557" ht="15.75" customHeight="1">
      <c r="A557" s="3"/>
      <c r="B557" s="3"/>
      <c r="C557" s="3"/>
      <c r="D557" s="3"/>
      <c r="E557" s="3"/>
      <c r="F557" s="3"/>
      <c r="G557" s="3"/>
      <c r="H557" s="3"/>
      <c r="I557" s="3"/>
      <c r="J557" s="3"/>
      <c r="K557" s="3"/>
    </row>
    <row r="558" ht="15.75" customHeight="1">
      <c r="A558" s="3"/>
      <c r="B558" s="3"/>
      <c r="C558" s="3"/>
      <c r="D558" s="3"/>
      <c r="E558" s="3"/>
      <c r="F558" s="3"/>
      <c r="G558" s="3"/>
      <c r="H558" s="3"/>
      <c r="I558" s="3"/>
      <c r="J558" s="3"/>
      <c r="K558" s="3"/>
    </row>
    <row r="559" ht="15.75" customHeight="1">
      <c r="A559" s="3"/>
      <c r="B559" s="3"/>
      <c r="C559" s="3"/>
      <c r="D559" s="3"/>
      <c r="E559" s="3"/>
      <c r="F559" s="3"/>
      <c r="G559" s="3"/>
      <c r="H559" s="3"/>
      <c r="I559" s="3"/>
      <c r="J559" s="3"/>
      <c r="K559" s="3"/>
    </row>
    <row r="560" ht="15.75" customHeight="1">
      <c r="A560" s="3"/>
      <c r="B560" s="3"/>
      <c r="C560" s="3"/>
      <c r="D560" s="3"/>
      <c r="E560" s="3"/>
      <c r="F560" s="3"/>
      <c r="G560" s="3"/>
      <c r="H560" s="3"/>
      <c r="I560" s="3"/>
      <c r="J560" s="3"/>
      <c r="K560" s="3"/>
    </row>
    <row r="561" ht="15.75" customHeight="1">
      <c r="A561" s="3"/>
      <c r="B561" s="3"/>
      <c r="C561" s="3"/>
      <c r="D561" s="3"/>
      <c r="E561" s="3"/>
      <c r="F561" s="3"/>
      <c r="G561" s="3"/>
      <c r="H561" s="3"/>
      <c r="I561" s="3"/>
      <c r="J561" s="3"/>
      <c r="K561" s="3"/>
    </row>
    <row r="562" ht="15.75" customHeight="1">
      <c r="A562" s="3"/>
      <c r="B562" s="3"/>
      <c r="C562" s="3"/>
      <c r="D562" s="3"/>
      <c r="E562" s="3"/>
      <c r="F562" s="3"/>
      <c r="G562" s="3"/>
      <c r="H562" s="3"/>
      <c r="I562" s="3"/>
      <c r="J562" s="3"/>
      <c r="K562" s="3"/>
    </row>
    <row r="563" ht="15.75" customHeight="1">
      <c r="A563" s="3"/>
      <c r="B563" s="3"/>
      <c r="C563" s="3"/>
      <c r="D563" s="3"/>
      <c r="E563" s="3"/>
      <c r="F563" s="3"/>
      <c r="G563" s="3"/>
      <c r="H563" s="3"/>
      <c r="I563" s="3"/>
      <c r="J563" s="3"/>
      <c r="K563" s="3"/>
    </row>
    <row r="564" ht="15.75" customHeight="1">
      <c r="A564" s="3"/>
      <c r="B564" s="3"/>
      <c r="C564" s="3"/>
      <c r="D564" s="3"/>
      <c r="E564" s="3"/>
      <c r="F564" s="3"/>
      <c r="G564" s="3"/>
      <c r="H564" s="3"/>
      <c r="I564" s="3"/>
      <c r="J564" s="3"/>
      <c r="K564" s="3"/>
    </row>
    <row r="565" ht="15.75" customHeight="1">
      <c r="A565" s="3"/>
      <c r="B565" s="3"/>
      <c r="C565" s="3"/>
      <c r="D565" s="3"/>
      <c r="E565" s="3"/>
      <c r="F565" s="3"/>
      <c r="G565" s="3"/>
      <c r="H565" s="3"/>
      <c r="I565" s="3"/>
      <c r="J565" s="3"/>
      <c r="K565" s="3"/>
    </row>
    <row r="566" ht="15.75" customHeight="1">
      <c r="A566" s="3"/>
      <c r="B566" s="3"/>
      <c r="C566" s="3"/>
      <c r="D566" s="3"/>
      <c r="E566" s="3"/>
      <c r="F566" s="3"/>
      <c r="G566" s="3"/>
      <c r="H566" s="3"/>
      <c r="I566" s="3"/>
      <c r="J566" s="3"/>
      <c r="K566" s="3"/>
    </row>
    <row r="567" ht="15.75" customHeight="1">
      <c r="A567" s="3"/>
      <c r="B567" s="3"/>
      <c r="C567" s="3"/>
      <c r="D567" s="3"/>
      <c r="E567" s="3"/>
      <c r="F567" s="3"/>
      <c r="G567" s="3"/>
      <c r="H567" s="3"/>
      <c r="I567" s="3"/>
      <c r="J567" s="3"/>
      <c r="K567" s="3"/>
    </row>
    <row r="568" ht="15.75" customHeight="1">
      <c r="A568" s="3"/>
      <c r="B568" s="3"/>
      <c r="C568" s="3"/>
      <c r="D568" s="3"/>
      <c r="E568" s="3"/>
      <c r="F568" s="3"/>
      <c r="G568" s="3"/>
      <c r="H568" s="3"/>
      <c r="I568" s="3"/>
      <c r="J568" s="3"/>
      <c r="K568" s="3"/>
    </row>
    <row r="569" ht="15.75" customHeight="1">
      <c r="A569" s="3"/>
      <c r="B569" s="3"/>
      <c r="C569" s="3"/>
      <c r="D569" s="3"/>
      <c r="E569" s="3"/>
      <c r="F569" s="3"/>
      <c r="G569" s="3"/>
      <c r="H569" s="3"/>
      <c r="I569" s="3"/>
      <c r="J569" s="3"/>
      <c r="K569" s="3"/>
    </row>
    <row r="570" ht="15.75" customHeight="1">
      <c r="A570" s="3"/>
      <c r="B570" s="3"/>
      <c r="C570" s="3"/>
      <c r="D570" s="3"/>
      <c r="E570" s="3"/>
      <c r="F570" s="3"/>
      <c r="G570" s="3"/>
      <c r="H570" s="3"/>
      <c r="I570" s="3"/>
      <c r="J570" s="3"/>
      <c r="K570" s="3"/>
    </row>
    <row r="571" ht="15.75" customHeight="1">
      <c r="A571" s="3"/>
      <c r="B571" s="3"/>
      <c r="C571" s="3"/>
      <c r="D571" s="3"/>
      <c r="E571" s="3"/>
      <c r="F571" s="3"/>
      <c r="G571" s="3"/>
      <c r="H571" s="3"/>
      <c r="I571" s="3"/>
      <c r="J571" s="3"/>
      <c r="K571" s="3"/>
    </row>
    <row r="572" ht="15.75" customHeight="1">
      <c r="A572" s="3"/>
      <c r="B572" s="3"/>
      <c r="C572" s="3"/>
      <c r="D572" s="3"/>
      <c r="E572" s="3"/>
      <c r="F572" s="3"/>
      <c r="G572" s="3"/>
      <c r="H572" s="3"/>
      <c r="I572" s="3"/>
      <c r="J572" s="3"/>
      <c r="K572" s="3"/>
    </row>
    <row r="573" ht="15.75" customHeight="1">
      <c r="A573" s="3"/>
      <c r="B573" s="3"/>
      <c r="C573" s="3"/>
      <c r="D573" s="3"/>
      <c r="E573" s="3"/>
      <c r="F573" s="3"/>
      <c r="G573" s="3"/>
      <c r="H573" s="3"/>
      <c r="I573" s="3"/>
      <c r="J573" s="3"/>
      <c r="K573" s="3"/>
    </row>
    <row r="574" ht="15.75" customHeight="1">
      <c r="A574" s="3"/>
      <c r="B574" s="3"/>
      <c r="C574" s="3"/>
      <c r="D574" s="3"/>
      <c r="E574" s="3"/>
      <c r="F574" s="3"/>
      <c r="G574" s="3"/>
      <c r="H574" s="3"/>
      <c r="I574" s="3"/>
      <c r="J574" s="3"/>
      <c r="K574" s="3"/>
    </row>
    <row r="575" ht="15.75" customHeight="1">
      <c r="A575" s="3"/>
      <c r="B575" s="3"/>
      <c r="C575" s="3"/>
      <c r="D575" s="3"/>
      <c r="E575" s="3"/>
      <c r="F575" s="3"/>
      <c r="G575" s="3"/>
      <c r="H575" s="3"/>
      <c r="I575" s="3"/>
      <c r="J575" s="3"/>
      <c r="K575" s="3"/>
    </row>
    <row r="576" ht="15.75" customHeight="1">
      <c r="A576" s="3"/>
      <c r="B576" s="3"/>
      <c r="C576" s="3"/>
      <c r="D576" s="3"/>
      <c r="E576" s="3"/>
      <c r="F576" s="3"/>
      <c r="G576" s="3"/>
      <c r="H576" s="3"/>
      <c r="I576" s="3"/>
      <c r="J576" s="3"/>
      <c r="K576" s="3"/>
    </row>
    <row r="577" ht="15.75" customHeight="1">
      <c r="A577" s="3"/>
      <c r="B577" s="3"/>
      <c r="C577" s="3"/>
      <c r="D577" s="3"/>
      <c r="E577" s="3"/>
      <c r="F577" s="3"/>
      <c r="G577" s="3"/>
      <c r="H577" s="3"/>
      <c r="I577" s="3"/>
      <c r="J577" s="3"/>
      <c r="K577" s="3"/>
    </row>
    <row r="578" ht="15.75" customHeight="1">
      <c r="A578" s="3"/>
      <c r="B578" s="3"/>
      <c r="C578" s="3"/>
      <c r="D578" s="3"/>
      <c r="E578" s="3"/>
      <c r="F578" s="3"/>
      <c r="G578" s="3"/>
      <c r="H578" s="3"/>
      <c r="I578" s="3"/>
      <c r="J578" s="3"/>
      <c r="K578" s="3"/>
    </row>
    <row r="579" ht="15.75" customHeight="1">
      <c r="A579" s="3"/>
      <c r="B579" s="3"/>
      <c r="C579" s="3"/>
      <c r="D579" s="3"/>
      <c r="E579" s="3"/>
      <c r="F579" s="3"/>
      <c r="G579" s="3"/>
      <c r="H579" s="3"/>
      <c r="I579" s="3"/>
      <c r="J579" s="3"/>
      <c r="K579" s="3"/>
    </row>
    <row r="580" ht="15.75" customHeight="1">
      <c r="A580" s="3"/>
      <c r="B580" s="3"/>
      <c r="C580" s="3"/>
      <c r="D580" s="3"/>
      <c r="E580" s="3"/>
      <c r="F580" s="3"/>
      <c r="G580" s="3"/>
      <c r="H580" s="3"/>
      <c r="I580" s="3"/>
      <c r="J580" s="3"/>
      <c r="K580" s="3"/>
    </row>
    <row r="581" ht="15.75" customHeight="1">
      <c r="A581" s="3"/>
      <c r="B581" s="3"/>
      <c r="C581" s="3"/>
      <c r="D581" s="3"/>
      <c r="E581" s="3"/>
      <c r="F581" s="3"/>
      <c r="G581" s="3"/>
      <c r="H581" s="3"/>
      <c r="I581" s="3"/>
      <c r="J581" s="3"/>
      <c r="K581" s="3"/>
    </row>
    <row r="582" ht="15.75" customHeight="1">
      <c r="A582" s="3"/>
      <c r="B582" s="3"/>
      <c r="C582" s="3"/>
      <c r="D582" s="3"/>
      <c r="E582" s="3"/>
      <c r="F582" s="3"/>
      <c r="G582" s="3"/>
      <c r="H582" s="3"/>
      <c r="I582" s="3"/>
      <c r="J582" s="3"/>
      <c r="K582" s="3"/>
    </row>
    <row r="583" ht="15.75" customHeight="1">
      <c r="A583" s="3"/>
      <c r="B583" s="3"/>
      <c r="C583" s="3"/>
      <c r="D583" s="3"/>
      <c r="E583" s="3"/>
      <c r="F583" s="3"/>
      <c r="G583" s="3"/>
      <c r="H583" s="3"/>
      <c r="I583" s="3"/>
      <c r="J583" s="3"/>
      <c r="K583" s="3"/>
    </row>
    <row r="584" ht="15.75" customHeight="1">
      <c r="A584" s="3"/>
      <c r="B584" s="3"/>
      <c r="C584" s="3"/>
      <c r="D584" s="3"/>
      <c r="E584" s="3"/>
      <c r="F584" s="3"/>
      <c r="G584" s="3"/>
      <c r="H584" s="3"/>
      <c r="I584" s="3"/>
      <c r="J584" s="3"/>
      <c r="K584" s="3"/>
    </row>
    <row r="585" ht="15.75" customHeight="1">
      <c r="A585" s="3"/>
      <c r="B585" s="3"/>
      <c r="C585" s="3"/>
      <c r="D585" s="3"/>
      <c r="E585" s="3"/>
      <c r="F585" s="3"/>
      <c r="G585" s="3"/>
      <c r="H585" s="3"/>
      <c r="I585" s="3"/>
      <c r="J585" s="3"/>
      <c r="K585" s="3"/>
    </row>
    <row r="586" ht="15.75" customHeight="1">
      <c r="A586" s="3"/>
      <c r="B586" s="3"/>
      <c r="C586" s="3"/>
      <c r="D586" s="3"/>
      <c r="E586" s="3"/>
      <c r="F586" s="3"/>
      <c r="G586" s="3"/>
      <c r="H586" s="3"/>
      <c r="I586" s="3"/>
      <c r="J586" s="3"/>
      <c r="K586" s="3"/>
    </row>
    <row r="587" ht="15.75" customHeight="1">
      <c r="A587" s="3"/>
      <c r="B587" s="3"/>
      <c r="C587" s="3"/>
      <c r="D587" s="3"/>
      <c r="E587" s="3"/>
      <c r="F587" s="3"/>
      <c r="G587" s="3"/>
      <c r="H587" s="3"/>
      <c r="I587" s="3"/>
      <c r="J587" s="3"/>
      <c r="K587" s="3"/>
    </row>
    <row r="588" ht="15.75" customHeight="1">
      <c r="A588" s="3"/>
      <c r="B588" s="3"/>
      <c r="C588" s="3"/>
      <c r="D588" s="3"/>
      <c r="E588" s="3"/>
      <c r="F588" s="3"/>
      <c r="G588" s="3"/>
      <c r="H588" s="3"/>
      <c r="I588" s="3"/>
      <c r="J588" s="3"/>
      <c r="K588" s="3"/>
    </row>
    <row r="589" ht="15.75" customHeight="1">
      <c r="A589" s="3"/>
      <c r="B589" s="3"/>
      <c r="C589" s="3"/>
      <c r="D589" s="3"/>
      <c r="E589" s="3"/>
      <c r="F589" s="3"/>
      <c r="G589" s="3"/>
      <c r="H589" s="3"/>
      <c r="I589" s="3"/>
      <c r="J589" s="3"/>
      <c r="K589" s="3"/>
    </row>
    <row r="590" ht="15.75" customHeight="1">
      <c r="A590" s="3"/>
      <c r="B590" s="3"/>
      <c r="C590" s="3"/>
      <c r="D590" s="3"/>
      <c r="E590" s="3"/>
      <c r="F590" s="3"/>
      <c r="G590" s="3"/>
      <c r="H590" s="3"/>
      <c r="I590" s="3"/>
      <c r="J590" s="3"/>
      <c r="K590" s="3"/>
    </row>
    <row r="591" ht="15.75" customHeight="1">
      <c r="A591" s="3"/>
      <c r="B591" s="3"/>
      <c r="C591" s="3"/>
      <c r="D591" s="3"/>
      <c r="E591" s="3"/>
      <c r="F591" s="3"/>
      <c r="G591" s="3"/>
      <c r="H591" s="3"/>
      <c r="I591" s="3"/>
      <c r="J591" s="3"/>
      <c r="K591" s="3"/>
    </row>
    <row r="592" ht="15.75" customHeight="1">
      <c r="A592" s="3"/>
      <c r="B592" s="3"/>
      <c r="C592" s="3"/>
      <c r="D592" s="3"/>
      <c r="E592" s="3"/>
      <c r="F592" s="3"/>
      <c r="G592" s="3"/>
      <c r="H592" s="3"/>
      <c r="I592" s="3"/>
      <c r="J592" s="3"/>
      <c r="K592" s="3"/>
    </row>
    <row r="593" ht="15.75" customHeight="1">
      <c r="A593" s="3"/>
      <c r="B593" s="3"/>
      <c r="C593" s="3"/>
      <c r="D593" s="3"/>
      <c r="E593" s="3"/>
      <c r="F593" s="3"/>
      <c r="G593" s="3"/>
      <c r="H593" s="3"/>
      <c r="I593" s="3"/>
      <c r="J593" s="3"/>
      <c r="K593" s="3"/>
    </row>
    <row r="594" ht="15.75" customHeight="1">
      <c r="A594" s="3"/>
      <c r="B594" s="3"/>
      <c r="C594" s="3"/>
      <c r="D594" s="3"/>
      <c r="E594" s="3"/>
      <c r="F594" s="3"/>
      <c r="G594" s="3"/>
      <c r="H594" s="3"/>
      <c r="I594" s="3"/>
      <c r="J594" s="3"/>
      <c r="K594" s="3"/>
    </row>
    <row r="595" ht="15.75" customHeight="1">
      <c r="A595" s="3"/>
      <c r="B595" s="3"/>
      <c r="C595" s="3"/>
      <c r="D595" s="3"/>
      <c r="E595" s="3"/>
      <c r="F595" s="3"/>
      <c r="G595" s="3"/>
      <c r="H595" s="3"/>
      <c r="I595" s="3"/>
      <c r="J595" s="3"/>
      <c r="K595" s="3"/>
    </row>
    <row r="596" ht="15.75" customHeight="1">
      <c r="A596" s="3"/>
      <c r="B596" s="3"/>
      <c r="C596" s="3"/>
      <c r="D596" s="3"/>
      <c r="E596" s="3"/>
      <c r="F596" s="3"/>
      <c r="G596" s="3"/>
      <c r="H596" s="3"/>
      <c r="I596" s="3"/>
      <c r="J596" s="3"/>
      <c r="K596" s="3"/>
    </row>
    <row r="597" ht="15.75" customHeight="1">
      <c r="A597" s="3"/>
      <c r="B597" s="3"/>
      <c r="C597" s="3"/>
      <c r="D597" s="3"/>
      <c r="E597" s="3"/>
      <c r="F597" s="3"/>
      <c r="G597" s="3"/>
      <c r="H597" s="3"/>
      <c r="I597" s="3"/>
      <c r="J597" s="3"/>
      <c r="K597" s="3"/>
    </row>
    <row r="598" ht="15.75" customHeight="1">
      <c r="A598" s="3"/>
      <c r="B598" s="3"/>
      <c r="C598" s="3"/>
      <c r="D598" s="3"/>
      <c r="E598" s="3"/>
      <c r="F598" s="3"/>
      <c r="G598" s="3"/>
      <c r="H598" s="3"/>
      <c r="I598" s="3"/>
      <c r="J598" s="3"/>
      <c r="K598" s="3"/>
    </row>
    <row r="599" ht="15.75" customHeight="1">
      <c r="A599" s="3"/>
      <c r="B599" s="3"/>
      <c r="C599" s="3"/>
      <c r="D599" s="3"/>
      <c r="E599" s="3"/>
      <c r="F599" s="3"/>
      <c r="G599" s="3"/>
      <c r="H599" s="3"/>
      <c r="I599" s="3"/>
      <c r="J599" s="3"/>
      <c r="K599" s="3"/>
    </row>
    <row r="600" ht="15.75" customHeight="1">
      <c r="A600" s="3"/>
      <c r="B600" s="3"/>
      <c r="C600" s="3"/>
      <c r="D600" s="3"/>
      <c r="E600" s="3"/>
      <c r="F600" s="3"/>
      <c r="G600" s="3"/>
      <c r="H600" s="3"/>
      <c r="I600" s="3"/>
      <c r="J600" s="3"/>
      <c r="K600" s="3"/>
    </row>
    <row r="601" ht="15.75" customHeight="1">
      <c r="A601" s="3"/>
      <c r="B601" s="3"/>
      <c r="C601" s="3"/>
      <c r="D601" s="3"/>
      <c r="E601" s="3"/>
      <c r="F601" s="3"/>
      <c r="G601" s="3"/>
      <c r="H601" s="3"/>
      <c r="I601" s="3"/>
      <c r="J601" s="3"/>
      <c r="K601" s="3"/>
    </row>
    <row r="602" ht="15.75" customHeight="1">
      <c r="A602" s="3"/>
      <c r="B602" s="3"/>
      <c r="C602" s="3"/>
      <c r="D602" s="3"/>
      <c r="E602" s="3"/>
      <c r="F602" s="3"/>
      <c r="G602" s="3"/>
      <c r="H602" s="3"/>
      <c r="I602" s="3"/>
      <c r="J602" s="3"/>
      <c r="K602" s="3"/>
    </row>
    <row r="603" ht="15.75" customHeight="1">
      <c r="A603" s="3"/>
      <c r="B603" s="3"/>
      <c r="C603" s="3"/>
      <c r="D603" s="3"/>
      <c r="E603" s="3"/>
      <c r="F603" s="3"/>
      <c r="G603" s="3"/>
      <c r="H603" s="3"/>
      <c r="I603" s="3"/>
      <c r="J603" s="3"/>
      <c r="K603" s="3"/>
    </row>
    <row r="604" ht="15.75" customHeight="1">
      <c r="A604" s="3"/>
      <c r="B604" s="3"/>
      <c r="C604" s="3"/>
      <c r="D604" s="3"/>
      <c r="E604" s="3"/>
      <c r="F604" s="3"/>
      <c r="G604" s="3"/>
      <c r="H604" s="3"/>
      <c r="I604" s="3"/>
      <c r="J604" s="3"/>
      <c r="K604" s="3"/>
    </row>
    <row r="605" ht="15.75" customHeight="1">
      <c r="A605" s="3"/>
      <c r="B605" s="3"/>
      <c r="C605" s="3"/>
      <c r="D605" s="3"/>
      <c r="E605" s="3"/>
      <c r="F605" s="3"/>
      <c r="G605" s="3"/>
      <c r="H605" s="3"/>
      <c r="I605" s="3"/>
      <c r="J605" s="3"/>
      <c r="K605" s="3"/>
    </row>
    <row r="606" ht="15.75" customHeight="1">
      <c r="A606" s="3"/>
      <c r="B606" s="3"/>
      <c r="C606" s="3"/>
      <c r="D606" s="3"/>
      <c r="E606" s="3"/>
      <c r="F606" s="3"/>
      <c r="G606" s="3"/>
      <c r="H606" s="3"/>
      <c r="I606" s="3"/>
      <c r="J606" s="3"/>
      <c r="K606" s="3"/>
    </row>
    <row r="607" ht="15.75" customHeight="1">
      <c r="A607" s="3"/>
      <c r="B607" s="3"/>
      <c r="C607" s="3"/>
      <c r="D607" s="3"/>
      <c r="E607" s="3"/>
      <c r="F607" s="3"/>
      <c r="G607" s="3"/>
      <c r="H607" s="3"/>
      <c r="I607" s="3"/>
      <c r="J607" s="3"/>
      <c r="K607" s="3"/>
    </row>
    <row r="608" ht="15.75" customHeight="1">
      <c r="A608" s="3"/>
      <c r="B608" s="3"/>
      <c r="C608" s="3"/>
      <c r="D608" s="3"/>
      <c r="E608" s="3"/>
      <c r="F608" s="3"/>
      <c r="G608" s="3"/>
      <c r="H608" s="3"/>
      <c r="I608" s="3"/>
      <c r="J608" s="3"/>
      <c r="K608" s="3"/>
    </row>
    <row r="609" ht="15.75" customHeight="1">
      <c r="A609" s="3"/>
      <c r="B609" s="3"/>
      <c r="C609" s="3"/>
      <c r="D609" s="3"/>
      <c r="E609" s="3"/>
      <c r="F609" s="3"/>
      <c r="G609" s="3"/>
      <c r="H609" s="3"/>
      <c r="I609" s="3"/>
      <c r="J609" s="3"/>
      <c r="K609" s="3"/>
    </row>
    <row r="610" ht="15.75" customHeight="1">
      <c r="A610" s="3"/>
      <c r="B610" s="3"/>
      <c r="C610" s="3"/>
      <c r="D610" s="3"/>
      <c r="E610" s="3"/>
      <c r="F610" s="3"/>
      <c r="G610" s="3"/>
      <c r="H610" s="3"/>
      <c r="I610" s="3"/>
      <c r="J610" s="3"/>
      <c r="K610" s="3"/>
    </row>
    <row r="611" ht="15.75" customHeight="1">
      <c r="A611" s="3"/>
      <c r="B611" s="3"/>
      <c r="C611" s="3"/>
      <c r="D611" s="3"/>
      <c r="E611" s="3"/>
      <c r="F611" s="3"/>
      <c r="G611" s="3"/>
      <c r="H611" s="3"/>
      <c r="I611" s="3"/>
      <c r="J611" s="3"/>
      <c r="K611" s="3"/>
    </row>
    <row r="612" ht="15.75" customHeight="1">
      <c r="A612" s="3"/>
      <c r="B612" s="3"/>
      <c r="C612" s="3"/>
      <c r="D612" s="3"/>
      <c r="E612" s="3"/>
      <c r="F612" s="3"/>
      <c r="G612" s="3"/>
      <c r="H612" s="3"/>
      <c r="I612" s="3"/>
      <c r="J612" s="3"/>
      <c r="K612" s="3"/>
    </row>
    <row r="613" ht="15.75" customHeight="1">
      <c r="A613" s="3"/>
      <c r="B613" s="3"/>
      <c r="C613" s="3"/>
      <c r="D613" s="3"/>
      <c r="E613" s="3"/>
      <c r="F613" s="3"/>
      <c r="G613" s="3"/>
      <c r="H613" s="3"/>
      <c r="I613" s="3"/>
      <c r="J613" s="3"/>
      <c r="K613" s="3"/>
    </row>
    <row r="614" ht="15.75" customHeight="1">
      <c r="A614" s="3"/>
      <c r="B614" s="3"/>
      <c r="C614" s="3"/>
      <c r="D614" s="3"/>
      <c r="E614" s="3"/>
      <c r="F614" s="3"/>
      <c r="G614" s="3"/>
      <c r="H614" s="3"/>
      <c r="I614" s="3"/>
      <c r="J614" s="3"/>
      <c r="K614" s="3"/>
    </row>
    <row r="615" ht="15.75" customHeight="1">
      <c r="A615" s="3"/>
      <c r="B615" s="3"/>
      <c r="C615" s="3"/>
      <c r="D615" s="3"/>
      <c r="E615" s="3"/>
      <c r="F615" s="3"/>
      <c r="G615" s="3"/>
      <c r="H615" s="3"/>
      <c r="I615" s="3"/>
      <c r="J615" s="3"/>
      <c r="K615" s="3"/>
    </row>
    <row r="616" ht="15.75" customHeight="1">
      <c r="A616" s="3"/>
      <c r="B616" s="3"/>
      <c r="C616" s="3"/>
      <c r="D616" s="3"/>
      <c r="E616" s="3"/>
      <c r="F616" s="3"/>
      <c r="G616" s="3"/>
      <c r="H616" s="3"/>
      <c r="I616" s="3"/>
      <c r="J616" s="3"/>
      <c r="K616" s="3"/>
    </row>
    <row r="617" ht="15.75" customHeight="1">
      <c r="A617" s="3"/>
      <c r="B617" s="3"/>
      <c r="C617" s="3"/>
      <c r="D617" s="3"/>
      <c r="E617" s="3"/>
      <c r="F617" s="3"/>
      <c r="G617" s="3"/>
      <c r="H617" s="3"/>
      <c r="I617" s="3"/>
      <c r="J617" s="3"/>
      <c r="K617" s="3"/>
    </row>
    <row r="618" ht="15.75" customHeight="1">
      <c r="A618" s="3"/>
      <c r="B618" s="3"/>
      <c r="C618" s="3"/>
      <c r="D618" s="3"/>
      <c r="E618" s="3"/>
      <c r="F618" s="3"/>
      <c r="G618" s="3"/>
      <c r="H618" s="3"/>
      <c r="I618" s="3"/>
      <c r="J618" s="3"/>
      <c r="K618" s="3"/>
    </row>
    <row r="619" ht="15.75" customHeight="1">
      <c r="A619" s="3"/>
      <c r="B619" s="3"/>
      <c r="C619" s="3"/>
      <c r="D619" s="3"/>
      <c r="E619" s="3"/>
      <c r="F619" s="3"/>
      <c r="G619" s="3"/>
      <c r="H619" s="3"/>
      <c r="I619" s="3"/>
      <c r="J619" s="3"/>
      <c r="K619" s="3"/>
    </row>
    <row r="620" ht="15.75" customHeight="1">
      <c r="A620" s="3"/>
      <c r="B620" s="3"/>
      <c r="C620" s="3"/>
      <c r="D620" s="3"/>
      <c r="E620" s="3"/>
      <c r="F620" s="3"/>
      <c r="G620" s="3"/>
      <c r="H620" s="3"/>
      <c r="I620" s="3"/>
      <c r="J620" s="3"/>
      <c r="K620" s="3"/>
    </row>
    <row r="621" ht="15.75" customHeight="1">
      <c r="A621" s="3"/>
      <c r="B621" s="3"/>
      <c r="C621" s="3"/>
      <c r="D621" s="3"/>
      <c r="E621" s="3"/>
      <c r="F621" s="3"/>
      <c r="G621" s="3"/>
      <c r="H621" s="3"/>
      <c r="I621" s="3"/>
      <c r="J621" s="3"/>
      <c r="K621" s="3"/>
    </row>
    <row r="622" ht="15.75" customHeight="1">
      <c r="A622" s="3"/>
      <c r="B622" s="3"/>
      <c r="C622" s="3"/>
      <c r="D622" s="3"/>
      <c r="E622" s="3"/>
      <c r="F622" s="3"/>
      <c r="G622" s="3"/>
      <c r="H622" s="3"/>
      <c r="I622" s="3"/>
      <c r="J622" s="3"/>
      <c r="K622" s="3"/>
    </row>
    <row r="623" ht="15.75" customHeight="1">
      <c r="A623" s="3"/>
      <c r="B623" s="3"/>
      <c r="C623" s="3"/>
      <c r="D623" s="3"/>
      <c r="E623" s="3"/>
      <c r="F623" s="3"/>
      <c r="G623" s="3"/>
      <c r="H623" s="3"/>
      <c r="I623" s="3"/>
      <c r="J623" s="3"/>
      <c r="K623" s="3"/>
    </row>
    <row r="624" ht="15.75" customHeight="1">
      <c r="A624" s="3"/>
      <c r="B624" s="3"/>
      <c r="C624" s="3"/>
      <c r="D624" s="3"/>
      <c r="E624" s="3"/>
      <c r="F624" s="3"/>
      <c r="G624" s="3"/>
      <c r="H624" s="3"/>
      <c r="I624" s="3"/>
      <c r="J624" s="3"/>
      <c r="K624" s="3"/>
    </row>
    <row r="625" ht="15.75" customHeight="1">
      <c r="A625" s="3"/>
      <c r="B625" s="3"/>
      <c r="C625" s="3"/>
      <c r="D625" s="3"/>
      <c r="E625" s="3"/>
      <c r="F625" s="3"/>
      <c r="G625" s="3"/>
      <c r="H625" s="3"/>
      <c r="I625" s="3"/>
      <c r="J625" s="3"/>
      <c r="K625" s="3"/>
    </row>
    <row r="626" ht="15.75" customHeight="1">
      <c r="A626" s="3"/>
      <c r="B626" s="3"/>
      <c r="C626" s="3"/>
      <c r="D626" s="3"/>
      <c r="E626" s="3"/>
      <c r="F626" s="3"/>
      <c r="G626" s="3"/>
      <c r="H626" s="3"/>
      <c r="I626" s="3"/>
      <c r="J626" s="3"/>
      <c r="K626" s="3"/>
    </row>
    <row r="627" ht="15.75" customHeight="1">
      <c r="A627" s="3"/>
      <c r="B627" s="3"/>
      <c r="C627" s="3"/>
      <c r="D627" s="3"/>
      <c r="E627" s="3"/>
      <c r="F627" s="3"/>
      <c r="G627" s="3"/>
      <c r="H627" s="3"/>
      <c r="I627" s="3"/>
      <c r="J627" s="3"/>
      <c r="K627" s="3"/>
    </row>
    <row r="628" ht="15.75" customHeight="1">
      <c r="A628" s="3"/>
      <c r="B628" s="3"/>
      <c r="C628" s="3"/>
      <c r="D628" s="3"/>
      <c r="E628" s="3"/>
      <c r="F628" s="3"/>
      <c r="G628" s="3"/>
      <c r="H628" s="3"/>
      <c r="I628" s="3"/>
      <c r="J628" s="3"/>
      <c r="K628" s="3"/>
    </row>
    <row r="629" ht="15.75" customHeight="1">
      <c r="A629" s="3"/>
      <c r="B629" s="3"/>
      <c r="C629" s="3"/>
      <c r="D629" s="3"/>
      <c r="E629" s="3"/>
      <c r="F629" s="3"/>
      <c r="G629" s="3"/>
      <c r="H629" s="3"/>
      <c r="I629" s="3"/>
      <c r="J629" s="3"/>
      <c r="K629" s="3"/>
    </row>
    <row r="630" ht="15.75" customHeight="1">
      <c r="A630" s="3"/>
      <c r="B630" s="3"/>
      <c r="C630" s="3"/>
      <c r="D630" s="3"/>
      <c r="E630" s="3"/>
      <c r="F630" s="3"/>
      <c r="G630" s="3"/>
      <c r="H630" s="3"/>
      <c r="I630" s="3"/>
      <c r="J630" s="3"/>
      <c r="K630" s="3"/>
    </row>
    <row r="631" ht="15.75" customHeight="1">
      <c r="A631" s="3"/>
      <c r="B631" s="3"/>
      <c r="C631" s="3"/>
      <c r="D631" s="3"/>
      <c r="E631" s="3"/>
      <c r="F631" s="3"/>
      <c r="G631" s="3"/>
      <c r="H631" s="3"/>
      <c r="I631" s="3"/>
      <c r="J631" s="3"/>
      <c r="K631" s="3"/>
    </row>
    <row r="632" ht="15.75" customHeight="1">
      <c r="A632" s="3"/>
      <c r="B632" s="3"/>
      <c r="C632" s="3"/>
      <c r="D632" s="3"/>
      <c r="E632" s="3"/>
      <c r="F632" s="3"/>
      <c r="G632" s="3"/>
      <c r="H632" s="3"/>
      <c r="I632" s="3"/>
      <c r="J632" s="3"/>
      <c r="K632" s="3"/>
    </row>
    <row r="633" ht="15.75" customHeight="1">
      <c r="A633" s="3"/>
      <c r="B633" s="3"/>
      <c r="C633" s="3"/>
      <c r="D633" s="3"/>
      <c r="E633" s="3"/>
      <c r="F633" s="3"/>
      <c r="G633" s="3"/>
      <c r="H633" s="3"/>
      <c r="I633" s="3"/>
      <c r="J633" s="3"/>
      <c r="K633" s="3"/>
    </row>
    <row r="634" ht="15.75" customHeight="1">
      <c r="A634" s="3"/>
      <c r="B634" s="3"/>
      <c r="C634" s="3"/>
      <c r="D634" s="3"/>
      <c r="E634" s="3"/>
      <c r="F634" s="3"/>
      <c r="G634" s="3"/>
      <c r="H634" s="3"/>
      <c r="I634" s="3"/>
      <c r="J634" s="3"/>
      <c r="K634" s="3"/>
    </row>
    <row r="635" ht="15.75" customHeight="1">
      <c r="A635" s="3"/>
      <c r="B635" s="3"/>
      <c r="C635" s="3"/>
      <c r="D635" s="3"/>
      <c r="E635" s="3"/>
      <c r="F635" s="3"/>
      <c r="G635" s="3"/>
      <c r="H635" s="3"/>
      <c r="I635" s="3"/>
      <c r="J635" s="3"/>
      <c r="K635" s="3"/>
    </row>
    <row r="636" ht="15.75" customHeight="1">
      <c r="A636" s="3"/>
      <c r="B636" s="3"/>
      <c r="C636" s="3"/>
      <c r="D636" s="3"/>
      <c r="E636" s="3"/>
      <c r="F636" s="3"/>
      <c r="G636" s="3"/>
      <c r="H636" s="3"/>
      <c r="I636" s="3"/>
      <c r="J636" s="3"/>
      <c r="K636" s="3"/>
    </row>
    <row r="637" ht="15.75" customHeight="1">
      <c r="A637" s="3"/>
      <c r="B637" s="3"/>
      <c r="C637" s="3"/>
      <c r="D637" s="3"/>
      <c r="E637" s="3"/>
      <c r="F637" s="3"/>
      <c r="G637" s="3"/>
      <c r="H637" s="3"/>
      <c r="I637" s="3"/>
      <c r="J637" s="3"/>
      <c r="K637" s="3"/>
    </row>
    <row r="638" ht="15.75" customHeight="1">
      <c r="A638" s="3"/>
      <c r="B638" s="3"/>
      <c r="C638" s="3"/>
      <c r="D638" s="3"/>
      <c r="E638" s="3"/>
      <c r="F638" s="3"/>
      <c r="G638" s="3"/>
      <c r="H638" s="3"/>
      <c r="I638" s="3"/>
      <c r="J638" s="3"/>
      <c r="K638" s="3"/>
    </row>
    <row r="639" ht="15.75" customHeight="1">
      <c r="A639" s="3"/>
      <c r="B639" s="3"/>
      <c r="C639" s="3"/>
      <c r="D639" s="3"/>
      <c r="E639" s="3"/>
      <c r="F639" s="3"/>
      <c r="G639" s="3"/>
      <c r="H639" s="3"/>
      <c r="I639" s="3"/>
      <c r="J639" s="3"/>
      <c r="K639" s="3"/>
    </row>
    <row r="640" ht="15.75" customHeight="1">
      <c r="A640" s="3"/>
      <c r="B640" s="3"/>
      <c r="C640" s="3"/>
      <c r="D640" s="3"/>
      <c r="E640" s="3"/>
      <c r="F640" s="3"/>
      <c r="G640" s="3"/>
      <c r="H640" s="3"/>
      <c r="I640" s="3"/>
      <c r="J640" s="3"/>
      <c r="K640" s="3"/>
    </row>
    <row r="641" ht="15.75" customHeight="1">
      <c r="A641" s="3"/>
      <c r="B641" s="3"/>
      <c r="C641" s="3"/>
      <c r="D641" s="3"/>
      <c r="E641" s="3"/>
      <c r="F641" s="3"/>
      <c r="G641" s="3"/>
      <c r="H641" s="3"/>
      <c r="I641" s="3"/>
      <c r="J641" s="3"/>
      <c r="K641" s="3"/>
    </row>
    <row r="642" ht="15.75" customHeight="1">
      <c r="A642" s="3"/>
      <c r="B642" s="3"/>
      <c r="C642" s="3"/>
      <c r="D642" s="3"/>
      <c r="E642" s="3"/>
      <c r="F642" s="3"/>
      <c r="G642" s="3"/>
      <c r="H642" s="3"/>
      <c r="I642" s="3"/>
      <c r="J642" s="3"/>
      <c r="K642" s="3"/>
    </row>
    <row r="643" ht="15.75" customHeight="1">
      <c r="A643" s="3"/>
      <c r="B643" s="3"/>
      <c r="C643" s="3"/>
      <c r="D643" s="3"/>
      <c r="E643" s="3"/>
      <c r="F643" s="3"/>
      <c r="G643" s="3"/>
      <c r="H643" s="3"/>
      <c r="I643" s="3"/>
      <c r="J643" s="3"/>
      <c r="K643" s="3"/>
    </row>
    <row r="644" ht="15.75" customHeight="1">
      <c r="A644" s="3"/>
      <c r="B644" s="3"/>
      <c r="C644" s="3"/>
      <c r="D644" s="3"/>
      <c r="E644" s="3"/>
      <c r="F644" s="3"/>
      <c r="G644" s="3"/>
      <c r="H644" s="3"/>
      <c r="I644" s="3"/>
      <c r="J644" s="3"/>
      <c r="K644" s="3"/>
    </row>
    <row r="645" ht="15.75" customHeight="1">
      <c r="A645" s="3"/>
      <c r="B645" s="3"/>
      <c r="C645" s="3"/>
      <c r="D645" s="3"/>
      <c r="E645" s="3"/>
      <c r="F645" s="3"/>
      <c r="G645" s="3"/>
      <c r="H645" s="3"/>
      <c r="I645" s="3"/>
      <c r="J645" s="3"/>
      <c r="K645" s="3"/>
    </row>
    <row r="646" ht="15.75" customHeight="1">
      <c r="A646" s="3"/>
      <c r="B646" s="3"/>
      <c r="C646" s="3"/>
      <c r="D646" s="3"/>
      <c r="E646" s="3"/>
      <c r="F646" s="3"/>
      <c r="G646" s="3"/>
      <c r="H646" s="3"/>
      <c r="I646" s="3"/>
      <c r="J646" s="3"/>
      <c r="K646" s="3"/>
    </row>
    <row r="647" ht="15.75" customHeight="1">
      <c r="A647" s="3"/>
      <c r="B647" s="3"/>
      <c r="C647" s="3"/>
      <c r="D647" s="3"/>
      <c r="E647" s="3"/>
      <c r="F647" s="3"/>
      <c r="G647" s="3"/>
      <c r="H647" s="3"/>
      <c r="I647" s="3"/>
      <c r="J647" s="3"/>
      <c r="K647" s="3"/>
    </row>
    <row r="648" ht="15.75" customHeight="1">
      <c r="A648" s="3"/>
      <c r="B648" s="3"/>
      <c r="C648" s="3"/>
      <c r="D648" s="3"/>
      <c r="E648" s="3"/>
      <c r="F648" s="3"/>
      <c r="G648" s="3"/>
      <c r="H648" s="3"/>
      <c r="I648" s="3"/>
      <c r="J648" s="3"/>
      <c r="K648" s="3"/>
    </row>
    <row r="649" ht="15.75" customHeight="1">
      <c r="A649" s="3"/>
      <c r="B649" s="3"/>
      <c r="C649" s="3"/>
      <c r="D649" s="3"/>
      <c r="E649" s="3"/>
      <c r="F649" s="3"/>
      <c r="G649" s="3"/>
      <c r="H649" s="3"/>
      <c r="I649" s="3"/>
      <c r="J649" s="3"/>
      <c r="K649" s="3"/>
    </row>
    <row r="650" ht="15.75" customHeight="1">
      <c r="A650" s="3"/>
      <c r="B650" s="3"/>
      <c r="C650" s="3"/>
      <c r="D650" s="3"/>
      <c r="E650" s="3"/>
      <c r="F650" s="3"/>
      <c r="G650" s="3"/>
      <c r="H650" s="3"/>
      <c r="I650" s="3"/>
      <c r="J650" s="3"/>
      <c r="K650" s="3"/>
    </row>
    <row r="651" ht="15.75" customHeight="1">
      <c r="A651" s="3"/>
      <c r="B651" s="3"/>
      <c r="C651" s="3"/>
      <c r="D651" s="3"/>
      <c r="E651" s="3"/>
      <c r="F651" s="3"/>
      <c r="G651" s="3"/>
      <c r="H651" s="3"/>
      <c r="I651" s="3"/>
      <c r="J651" s="3"/>
      <c r="K651" s="3"/>
    </row>
    <row r="652" ht="15.75" customHeight="1">
      <c r="A652" s="3"/>
      <c r="B652" s="3"/>
      <c r="C652" s="3"/>
      <c r="D652" s="3"/>
      <c r="E652" s="3"/>
      <c r="F652" s="3"/>
      <c r="G652" s="3"/>
      <c r="H652" s="3"/>
      <c r="I652" s="3"/>
      <c r="J652" s="3"/>
      <c r="K652" s="3"/>
    </row>
    <row r="653" ht="15.75" customHeight="1">
      <c r="A653" s="3"/>
      <c r="B653" s="3"/>
      <c r="C653" s="3"/>
      <c r="D653" s="3"/>
      <c r="E653" s="3"/>
      <c r="F653" s="3"/>
      <c r="G653" s="3"/>
      <c r="H653" s="3"/>
      <c r="I653" s="3"/>
      <c r="J653" s="3"/>
      <c r="K653" s="3"/>
    </row>
    <row r="654" ht="15.75" customHeight="1">
      <c r="A654" s="3"/>
      <c r="B654" s="3"/>
      <c r="C654" s="3"/>
      <c r="D654" s="3"/>
      <c r="E654" s="3"/>
      <c r="F654" s="3"/>
      <c r="G654" s="3"/>
      <c r="H654" s="3"/>
      <c r="I654" s="3"/>
      <c r="J654" s="3"/>
      <c r="K654" s="3"/>
    </row>
    <row r="655" ht="15.75" customHeight="1">
      <c r="A655" s="3"/>
      <c r="B655" s="3"/>
      <c r="C655" s="3"/>
      <c r="D655" s="3"/>
      <c r="E655" s="3"/>
      <c r="F655" s="3"/>
      <c r="G655" s="3"/>
      <c r="H655" s="3"/>
      <c r="I655" s="3"/>
      <c r="J655" s="3"/>
      <c r="K655" s="3"/>
    </row>
    <row r="656" ht="15.75" customHeight="1">
      <c r="A656" s="3"/>
      <c r="B656" s="3"/>
      <c r="C656" s="3"/>
      <c r="D656" s="3"/>
      <c r="E656" s="3"/>
      <c r="F656" s="3"/>
      <c r="G656" s="3"/>
      <c r="H656" s="3"/>
      <c r="I656" s="3"/>
      <c r="J656" s="3"/>
      <c r="K656" s="3"/>
    </row>
    <row r="657" ht="15.75" customHeight="1">
      <c r="A657" s="3"/>
      <c r="B657" s="3"/>
      <c r="C657" s="3"/>
      <c r="D657" s="3"/>
      <c r="E657" s="3"/>
      <c r="F657" s="3"/>
      <c r="G657" s="3"/>
      <c r="H657" s="3"/>
      <c r="I657" s="3"/>
      <c r="J657" s="3"/>
      <c r="K657" s="3"/>
    </row>
    <row r="658" ht="15.75" customHeight="1">
      <c r="A658" s="3"/>
      <c r="B658" s="3"/>
      <c r="C658" s="3"/>
      <c r="D658" s="3"/>
      <c r="E658" s="3"/>
      <c r="F658" s="3"/>
      <c r="G658" s="3"/>
      <c r="H658" s="3"/>
      <c r="I658" s="3"/>
      <c r="J658" s="3"/>
      <c r="K658" s="3"/>
    </row>
    <row r="659" ht="15.75" customHeight="1">
      <c r="A659" s="3"/>
      <c r="B659" s="3"/>
      <c r="C659" s="3"/>
      <c r="D659" s="3"/>
      <c r="E659" s="3"/>
      <c r="F659" s="3"/>
      <c r="G659" s="3"/>
      <c r="H659" s="3"/>
      <c r="I659" s="3"/>
      <c r="J659" s="3"/>
      <c r="K659" s="3"/>
    </row>
    <row r="660" ht="15.75" customHeight="1">
      <c r="A660" s="3"/>
      <c r="B660" s="3"/>
      <c r="C660" s="3"/>
      <c r="D660" s="3"/>
      <c r="E660" s="3"/>
      <c r="F660" s="3"/>
      <c r="G660" s="3"/>
      <c r="H660" s="3"/>
      <c r="I660" s="3"/>
      <c r="J660" s="3"/>
      <c r="K660" s="3"/>
    </row>
    <row r="661" ht="15.75" customHeight="1">
      <c r="A661" s="3"/>
      <c r="B661" s="3"/>
      <c r="C661" s="3"/>
      <c r="D661" s="3"/>
      <c r="E661" s="3"/>
      <c r="F661" s="3"/>
      <c r="G661" s="3"/>
      <c r="H661" s="3"/>
      <c r="I661" s="3"/>
      <c r="J661" s="3"/>
      <c r="K661" s="3"/>
    </row>
    <row r="662" ht="15.75" customHeight="1">
      <c r="A662" s="3"/>
      <c r="B662" s="3"/>
      <c r="C662" s="3"/>
      <c r="D662" s="3"/>
      <c r="E662" s="3"/>
      <c r="F662" s="3"/>
      <c r="G662" s="3"/>
      <c r="H662" s="3"/>
      <c r="I662" s="3"/>
      <c r="J662" s="3"/>
      <c r="K662" s="3"/>
    </row>
    <row r="663" ht="15.75" customHeight="1">
      <c r="A663" s="3"/>
      <c r="B663" s="3"/>
      <c r="C663" s="3"/>
      <c r="D663" s="3"/>
      <c r="E663" s="3"/>
      <c r="F663" s="3"/>
      <c r="G663" s="3"/>
      <c r="H663" s="3"/>
      <c r="I663" s="3"/>
      <c r="J663" s="3"/>
      <c r="K663" s="3"/>
    </row>
    <row r="664" ht="15.75" customHeight="1">
      <c r="A664" s="3"/>
      <c r="B664" s="3"/>
      <c r="C664" s="3"/>
      <c r="D664" s="3"/>
      <c r="E664" s="3"/>
      <c r="F664" s="3"/>
      <c r="G664" s="3"/>
      <c r="H664" s="3"/>
      <c r="I664" s="3"/>
      <c r="J664" s="3"/>
      <c r="K664" s="3"/>
    </row>
    <row r="665" ht="15.75" customHeight="1">
      <c r="A665" s="3"/>
      <c r="B665" s="3"/>
      <c r="C665" s="3"/>
      <c r="D665" s="3"/>
      <c r="E665" s="3"/>
      <c r="F665" s="3"/>
      <c r="G665" s="3"/>
      <c r="H665" s="3"/>
      <c r="I665" s="3"/>
      <c r="J665" s="3"/>
      <c r="K665" s="3"/>
    </row>
    <row r="666" ht="15.75" customHeight="1">
      <c r="A666" s="3"/>
      <c r="B666" s="3"/>
      <c r="C666" s="3"/>
      <c r="D666" s="3"/>
      <c r="E666" s="3"/>
      <c r="F666" s="3"/>
      <c r="G666" s="3"/>
      <c r="H666" s="3"/>
      <c r="I666" s="3"/>
      <c r="J666" s="3"/>
      <c r="K666" s="3"/>
    </row>
    <row r="667" ht="15.75" customHeight="1">
      <c r="A667" s="3"/>
      <c r="B667" s="3"/>
      <c r="C667" s="3"/>
      <c r="D667" s="3"/>
      <c r="E667" s="3"/>
      <c r="F667" s="3"/>
      <c r="G667" s="3"/>
      <c r="H667" s="3"/>
      <c r="I667" s="3"/>
      <c r="J667" s="3"/>
      <c r="K667" s="3"/>
    </row>
    <row r="668" ht="15.75" customHeight="1">
      <c r="A668" s="3"/>
      <c r="B668" s="3"/>
      <c r="C668" s="3"/>
      <c r="D668" s="3"/>
      <c r="E668" s="3"/>
      <c r="F668" s="3"/>
      <c r="G668" s="3"/>
      <c r="H668" s="3"/>
      <c r="I668" s="3"/>
      <c r="J668" s="3"/>
      <c r="K668" s="3"/>
    </row>
    <row r="669" ht="15.75" customHeight="1">
      <c r="A669" s="3"/>
      <c r="B669" s="3"/>
      <c r="C669" s="3"/>
      <c r="D669" s="3"/>
      <c r="E669" s="3"/>
      <c r="F669" s="3"/>
      <c r="G669" s="3"/>
      <c r="H669" s="3"/>
      <c r="I669" s="3"/>
      <c r="J669" s="3"/>
      <c r="K669" s="3"/>
    </row>
    <row r="670" ht="15.75" customHeight="1">
      <c r="A670" s="3"/>
      <c r="B670" s="3"/>
      <c r="C670" s="3"/>
      <c r="D670" s="3"/>
      <c r="E670" s="3"/>
      <c r="F670" s="3"/>
      <c r="G670" s="3"/>
      <c r="H670" s="3"/>
      <c r="I670" s="3"/>
      <c r="J670" s="3"/>
      <c r="K670" s="3"/>
    </row>
    <row r="671" ht="15.75" customHeight="1">
      <c r="A671" s="3"/>
      <c r="B671" s="3"/>
      <c r="C671" s="3"/>
      <c r="D671" s="3"/>
      <c r="E671" s="3"/>
      <c r="F671" s="3"/>
      <c r="G671" s="3"/>
      <c r="H671" s="3"/>
      <c r="I671" s="3"/>
      <c r="J671" s="3"/>
      <c r="K671" s="3"/>
    </row>
    <row r="672" ht="15.75" customHeight="1">
      <c r="A672" s="3"/>
      <c r="B672" s="3"/>
      <c r="C672" s="3"/>
      <c r="D672" s="3"/>
      <c r="E672" s="3"/>
      <c r="F672" s="3"/>
      <c r="G672" s="3"/>
      <c r="H672" s="3"/>
      <c r="I672" s="3"/>
      <c r="J672" s="3"/>
      <c r="K672" s="3"/>
    </row>
    <row r="673" ht="15.75" customHeight="1">
      <c r="A673" s="3"/>
      <c r="B673" s="3"/>
      <c r="C673" s="3"/>
      <c r="D673" s="3"/>
      <c r="E673" s="3"/>
      <c r="F673" s="3"/>
      <c r="G673" s="3"/>
      <c r="H673" s="3"/>
      <c r="I673" s="3"/>
      <c r="J673" s="3"/>
      <c r="K673" s="3"/>
    </row>
    <row r="674" ht="15.75" customHeight="1">
      <c r="A674" s="3"/>
      <c r="B674" s="3"/>
      <c r="C674" s="3"/>
      <c r="D674" s="3"/>
      <c r="E674" s="3"/>
      <c r="F674" s="3"/>
      <c r="G674" s="3"/>
      <c r="H674" s="3"/>
      <c r="I674" s="3"/>
      <c r="J674" s="3"/>
      <c r="K674" s="3"/>
    </row>
    <row r="675" ht="15.75" customHeight="1">
      <c r="A675" s="3"/>
      <c r="B675" s="3"/>
      <c r="C675" s="3"/>
      <c r="D675" s="3"/>
      <c r="E675" s="3"/>
      <c r="F675" s="3"/>
      <c r="G675" s="3"/>
      <c r="H675" s="3"/>
      <c r="I675" s="3"/>
      <c r="J675" s="3"/>
      <c r="K675" s="3"/>
    </row>
    <row r="676" ht="15.75" customHeight="1">
      <c r="A676" s="3"/>
      <c r="B676" s="3"/>
      <c r="C676" s="3"/>
      <c r="D676" s="3"/>
      <c r="E676" s="3"/>
      <c r="F676" s="3"/>
      <c r="G676" s="3"/>
      <c r="H676" s="3"/>
      <c r="I676" s="3"/>
      <c r="J676" s="3"/>
      <c r="K676" s="3"/>
    </row>
    <row r="677" ht="15.75" customHeight="1">
      <c r="A677" s="3"/>
      <c r="B677" s="3"/>
      <c r="C677" s="3"/>
      <c r="D677" s="3"/>
      <c r="E677" s="3"/>
      <c r="F677" s="3"/>
      <c r="G677" s="3"/>
      <c r="H677" s="3"/>
      <c r="I677" s="3"/>
      <c r="J677" s="3"/>
      <c r="K677" s="3"/>
    </row>
    <row r="678" ht="15.75" customHeight="1">
      <c r="A678" s="3"/>
      <c r="B678" s="3"/>
      <c r="C678" s="3"/>
      <c r="D678" s="3"/>
      <c r="E678" s="3"/>
      <c r="F678" s="3"/>
      <c r="G678" s="3"/>
      <c r="H678" s="3"/>
      <c r="I678" s="3"/>
      <c r="J678" s="3"/>
      <c r="K678" s="3"/>
    </row>
    <row r="679" ht="15.75" customHeight="1">
      <c r="A679" s="3"/>
      <c r="B679" s="3"/>
      <c r="C679" s="3"/>
      <c r="D679" s="3"/>
      <c r="E679" s="3"/>
      <c r="F679" s="3"/>
      <c r="G679" s="3"/>
      <c r="H679" s="3"/>
      <c r="I679" s="3"/>
      <c r="J679" s="3"/>
      <c r="K679" s="3"/>
    </row>
    <row r="680" ht="15.75" customHeight="1">
      <c r="A680" s="3"/>
      <c r="B680" s="3"/>
      <c r="C680" s="3"/>
      <c r="D680" s="3"/>
      <c r="E680" s="3"/>
      <c r="F680" s="3"/>
      <c r="G680" s="3"/>
      <c r="H680" s="3"/>
      <c r="I680" s="3"/>
      <c r="J680" s="3"/>
      <c r="K680" s="3"/>
    </row>
    <row r="681" ht="15.75" customHeight="1">
      <c r="A681" s="3"/>
      <c r="B681" s="3"/>
      <c r="C681" s="3"/>
      <c r="D681" s="3"/>
      <c r="E681" s="3"/>
      <c r="F681" s="3"/>
      <c r="G681" s="3"/>
      <c r="H681" s="3"/>
      <c r="I681" s="3"/>
      <c r="J681" s="3"/>
      <c r="K681" s="3"/>
    </row>
    <row r="682" ht="15.75" customHeight="1">
      <c r="A682" s="3"/>
      <c r="B682" s="3"/>
      <c r="C682" s="3"/>
      <c r="D682" s="3"/>
      <c r="E682" s="3"/>
      <c r="F682" s="3"/>
      <c r="G682" s="3"/>
      <c r="H682" s="3"/>
      <c r="I682" s="3"/>
      <c r="J682" s="3"/>
      <c r="K682" s="3"/>
    </row>
    <row r="683" ht="15.75" customHeight="1">
      <c r="A683" s="3"/>
      <c r="B683" s="3"/>
      <c r="C683" s="3"/>
      <c r="D683" s="3"/>
      <c r="E683" s="3"/>
      <c r="F683" s="3"/>
      <c r="G683" s="3"/>
      <c r="H683" s="3"/>
      <c r="I683" s="3"/>
      <c r="J683" s="3"/>
      <c r="K683" s="3"/>
    </row>
    <row r="684" ht="15.75" customHeight="1">
      <c r="A684" s="3"/>
      <c r="B684" s="3"/>
      <c r="C684" s="3"/>
      <c r="D684" s="3"/>
      <c r="E684" s="3"/>
      <c r="F684" s="3"/>
      <c r="G684" s="3"/>
      <c r="H684" s="3"/>
      <c r="I684" s="3"/>
      <c r="J684" s="3"/>
      <c r="K684" s="3"/>
    </row>
    <row r="685" ht="15.75" customHeight="1">
      <c r="A685" s="3"/>
      <c r="B685" s="3"/>
      <c r="C685" s="3"/>
      <c r="D685" s="3"/>
      <c r="E685" s="3"/>
      <c r="F685" s="3"/>
      <c r="G685" s="3"/>
      <c r="H685" s="3"/>
      <c r="I685" s="3"/>
      <c r="J685" s="3"/>
      <c r="K685" s="3"/>
    </row>
    <row r="686" ht="15.75" customHeight="1">
      <c r="A686" s="3"/>
      <c r="B686" s="3"/>
      <c r="C686" s="3"/>
      <c r="D686" s="3"/>
      <c r="E686" s="3"/>
      <c r="F686" s="3"/>
      <c r="G686" s="3"/>
      <c r="H686" s="3"/>
      <c r="I686" s="3"/>
      <c r="J686" s="3"/>
      <c r="K686" s="3"/>
    </row>
    <row r="687" ht="15.75" customHeight="1">
      <c r="A687" s="3"/>
      <c r="B687" s="3"/>
      <c r="C687" s="3"/>
      <c r="D687" s="3"/>
      <c r="E687" s="3"/>
      <c r="F687" s="3"/>
      <c r="G687" s="3"/>
      <c r="H687" s="3"/>
      <c r="I687" s="3"/>
      <c r="J687" s="3"/>
      <c r="K687" s="3"/>
    </row>
    <row r="688" ht="15.75" customHeight="1">
      <c r="A688" s="3"/>
      <c r="B688" s="3"/>
      <c r="C688" s="3"/>
      <c r="D688" s="3"/>
      <c r="E688" s="3"/>
      <c r="F688" s="3"/>
      <c r="G688" s="3"/>
      <c r="H688" s="3"/>
      <c r="I688" s="3"/>
      <c r="J688" s="3"/>
      <c r="K688" s="3"/>
    </row>
    <row r="689" ht="15.75" customHeight="1">
      <c r="A689" s="3"/>
      <c r="B689" s="3"/>
      <c r="C689" s="3"/>
      <c r="D689" s="3"/>
      <c r="E689" s="3"/>
      <c r="F689" s="3"/>
      <c r="G689" s="3"/>
      <c r="H689" s="3"/>
      <c r="I689" s="3"/>
      <c r="J689" s="3"/>
      <c r="K689" s="3"/>
    </row>
    <row r="690" ht="15.75" customHeight="1">
      <c r="A690" s="3"/>
      <c r="B690" s="3"/>
      <c r="C690" s="3"/>
      <c r="D690" s="3"/>
      <c r="E690" s="3"/>
      <c r="F690" s="3"/>
      <c r="G690" s="3"/>
      <c r="H690" s="3"/>
      <c r="I690" s="3"/>
      <c r="J690" s="3"/>
      <c r="K690" s="3"/>
    </row>
    <row r="691" ht="15.75" customHeight="1">
      <c r="A691" s="3"/>
      <c r="B691" s="3"/>
      <c r="C691" s="3"/>
      <c r="D691" s="3"/>
      <c r="E691" s="3"/>
      <c r="F691" s="3"/>
      <c r="G691" s="3"/>
      <c r="H691" s="3"/>
      <c r="I691" s="3"/>
      <c r="J691" s="3"/>
      <c r="K691" s="3"/>
    </row>
    <row r="692" ht="15.75" customHeight="1">
      <c r="A692" s="3"/>
      <c r="B692" s="3"/>
      <c r="C692" s="3"/>
      <c r="D692" s="3"/>
      <c r="E692" s="3"/>
      <c r="F692" s="3"/>
      <c r="G692" s="3"/>
      <c r="H692" s="3"/>
      <c r="I692" s="3"/>
      <c r="J692" s="3"/>
      <c r="K692" s="3"/>
    </row>
    <row r="693" ht="15.75" customHeight="1">
      <c r="A693" s="3"/>
      <c r="B693" s="3"/>
      <c r="C693" s="3"/>
      <c r="D693" s="3"/>
      <c r="E693" s="3"/>
      <c r="F693" s="3"/>
      <c r="G693" s="3"/>
      <c r="H693" s="3"/>
      <c r="I693" s="3"/>
      <c r="J693" s="3"/>
      <c r="K693" s="3"/>
    </row>
    <row r="694" ht="15.75" customHeight="1">
      <c r="A694" s="3"/>
      <c r="B694" s="3"/>
      <c r="C694" s="3"/>
      <c r="D694" s="3"/>
      <c r="E694" s="3"/>
      <c r="F694" s="3"/>
      <c r="G694" s="3"/>
      <c r="H694" s="3"/>
      <c r="I694" s="3"/>
      <c r="J694" s="3"/>
      <c r="K694" s="3"/>
    </row>
    <row r="695" ht="15.75" customHeight="1">
      <c r="A695" s="3"/>
      <c r="B695" s="3"/>
      <c r="C695" s="3"/>
      <c r="D695" s="3"/>
      <c r="E695" s="3"/>
      <c r="F695" s="3"/>
      <c r="G695" s="3"/>
      <c r="H695" s="3"/>
      <c r="I695" s="3"/>
      <c r="J695" s="3"/>
      <c r="K695" s="3"/>
    </row>
    <row r="696" ht="15.75" customHeight="1">
      <c r="A696" s="3"/>
      <c r="B696" s="3"/>
      <c r="C696" s="3"/>
      <c r="D696" s="3"/>
      <c r="E696" s="3"/>
      <c r="F696" s="3"/>
      <c r="G696" s="3"/>
      <c r="H696" s="3"/>
      <c r="I696" s="3"/>
      <c r="J696" s="3"/>
      <c r="K696" s="3"/>
    </row>
    <row r="697" ht="15.75" customHeight="1">
      <c r="A697" s="3"/>
      <c r="B697" s="3"/>
      <c r="C697" s="3"/>
      <c r="D697" s="3"/>
      <c r="E697" s="3"/>
      <c r="F697" s="3"/>
      <c r="G697" s="3"/>
      <c r="H697" s="3"/>
      <c r="I697" s="3"/>
      <c r="J697" s="3"/>
      <c r="K697" s="3"/>
    </row>
    <row r="698" ht="15.75" customHeight="1">
      <c r="A698" s="3"/>
      <c r="B698" s="3"/>
      <c r="C698" s="3"/>
      <c r="D698" s="3"/>
      <c r="E698" s="3"/>
      <c r="F698" s="3"/>
      <c r="G698" s="3"/>
      <c r="H698" s="3"/>
      <c r="I698" s="3"/>
      <c r="J698" s="3"/>
      <c r="K698" s="3"/>
    </row>
    <row r="699" ht="15.75" customHeight="1">
      <c r="A699" s="3"/>
      <c r="B699" s="3"/>
      <c r="C699" s="3"/>
      <c r="D699" s="3"/>
      <c r="E699" s="3"/>
      <c r="F699" s="3"/>
      <c r="G699" s="3"/>
      <c r="H699" s="3"/>
      <c r="I699" s="3"/>
      <c r="J699" s="3"/>
      <c r="K699" s="3"/>
    </row>
    <row r="700" ht="15.75" customHeight="1">
      <c r="A700" s="3"/>
      <c r="B700" s="3"/>
      <c r="C700" s="3"/>
      <c r="D700" s="3"/>
      <c r="E700" s="3"/>
      <c r="F700" s="3"/>
      <c r="G700" s="3"/>
      <c r="H700" s="3"/>
      <c r="I700" s="3"/>
      <c r="J700" s="3"/>
      <c r="K700" s="3"/>
    </row>
    <row r="701" ht="15.75" customHeight="1">
      <c r="A701" s="3"/>
      <c r="B701" s="3"/>
      <c r="C701" s="3"/>
      <c r="D701" s="3"/>
      <c r="E701" s="3"/>
      <c r="F701" s="3"/>
      <c r="G701" s="3"/>
      <c r="H701" s="3"/>
      <c r="I701" s="3"/>
      <c r="J701" s="3"/>
      <c r="K701" s="3"/>
    </row>
    <row r="702" ht="15.75" customHeight="1">
      <c r="A702" s="3"/>
      <c r="B702" s="3"/>
      <c r="C702" s="3"/>
      <c r="D702" s="3"/>
      <c r="E702" s="3"/>
      <c r="F702" s="3"/>
      <c r="G702" s="3"/>
      <c r="H702" s="3"/>
      <c r="I702" s="3"/>
      <c r="J702" s="3"/>
      <c r="K702" s="3"/>
    </row>
    <row r="703" ht="15.75" customHeight="1">
      <c r="A703" s="3"/>
      <c r="B703" s="3"/>
      <c r="C703" s="3"/>
      <c r="D703" s="3"/>
      <c r="E703" s="3"/>
      <c r="F703" s="3"/>
      <c r="G703" s="3"/>
      <c r="H703" s="3"/>
      <c r="I703" s="3"/>
      <c r="J703" s="3"/>
      <c r="K703" s="3"/>
    </row>
    <row r="704" ht="15.75" customHeight="1">
      <c r="A704" s="3"/>
      <c r="B704" s="3"/>
      <c r="C704" s="3"/>
      <c r="D704" s="3"/>
      <c r="E704" s="3"/>
      <c r="F704" s="3"/>
      <c r="G704" s="3"/>
      <c r="H704" s="3"/>
      <c r="I704" s="3"/>
      <c r="J704" s="3"/>
      <c r="K704" s="3"/>
    </row>
    <row r="705" ht="15.75" customHeight="1">
      <c r="A705" s="3"/>
      <c r="B705" s="3"/>
      <c r="C705" s="3"/>
      <c r="D705" s="3"/>
      <c r="E705" s="3"/>
      <c r="F705" s="3"/>
      <c r="G705" s="3"/>
      <c r="H705" s="3"/>
      <c r="I705" s="3"/>
      <c r="J705" s="3"/>
      <c r="K705" s="3"/>
    </row>
    <row r="706" ht="15.75" customHeight="1">
      <c r="A706" s="3"/>
      <c r="B706" s="3"/>
      <c r="C706" s="3"/>
      <c r="D706" s="3"/>
      <c r="E706" s="3"/>
      <c r="F706" s="3"/>
      <c r="G706" s="3"/>
      <c r="H706" s="3"/>
      <c r="I706" s="3"/>
      <c r="J706" s="3"/>
      <c r="K706" s="3"/>
    </row>
    <row r="707" ht="15.75" customHeight="1">
      <c r="A707" s="3"/>
      <c r="B707" s="3"/>
      <c r="C707" s="3"/>
      <c r="D707" s="3"/>
      <c r="E707" s="3"/>
      <c r="F707" s="3"/>
      <c r="G707" s="3"/>
      <c r="H707" s="3"/>
      <c r="I707" s="3"/>
      <c r="J707" s="3"/>
      <c r="K707" s="3"/>
    </row>
    <row r="708" ht="15.75" customHeight="1">
      <c r="A708" s="3"/>
      <c r="B708" s="3"/>
      <c r="C708" s="3"/>
      <c r="D708" s="3"/>
      <c r="E708" s="3"/>
      <c r="F708" s="3"/>
      <c r="G708" s="3"/>
      <c r="H708" s="3"/>
      <c r="I708" s="3"/>
      <c r="J708" s="3"/>
      <c r="K708" s="3"/>
    </row>
    <row r="709" ht="15.75" customHeight="1">
      <c r="A709" s="3"/>
      <c r="B709" s="3"/>
      <c r="C709" s="3"/>
      <c r="D709" s="3"/>
      <c r="E709" s="3"/>
      <c r="F709" s="3"/>
      <c r="G709" s="3"/>
      <c r="H709" s="3"/>
      <c r="I709" s="3"/>
      <c r="J709" s="3"/>
      <c r="K709" s="3"/>
    </row>
    <row r="710" ht="15.75" customHeight="1">
      <c r="A710" s="3"/>
      <c r="B710" s="3"/>
      <c r="C710" s="3"/>
      <c r="D710" s="3"/>
      <c r="E710" s="3"/>
      <c r="F710" s="3"/>
      <c r="G710" s="3"/>
      <c r="H710" s="3"/>
      <c r="I710" s="3"/>
      <c r="J710" s="3"/>
      <c r="K710" s="3"/>
    </row>
    <row r="711" ht="15.75" customHeight="1">
      <c r="A711" s="3"/>
      <c r="B711" s="3"/>
      <c r="C711" s="3"/>
      <c r="D711" s="3"/>
      <c r="E711" s="3"/>
      <c r="F711" s="3"/>
      <c r="G711" s="3"/>
      <c r="H711" s="3"/>
      <c r="I711" s="3"/>
      <c r="J711" s="3"/>
      <c r="K711" s="3"/>
    </row>
    <row r="712" ht="15.75" customHeight="1">
      <c r="A712" s="3"/>
      <c r="B712" s="3"/>
      <c r="C712" s="3"/>
      <c r="D712" s="3"/>
      <c r="E712" s="3"/>
      <c r="F712" s="3"/>
      <c r="G712" s="3"/>
      <c r="H712" s="3"/>
      <c r="I712" s="3"/>
      <c r="J712" s="3"/>
      <c r="K712" s="3"/>
    </row>
    <row r="713" ht="15.75" customHeight="1">
      <c r="A713" s="3"/>
      <c r="B713" s="3"/>
      <c r="C713" s="3"/>
      <c r="D713" s="3"/>
      <c r="E713" s="3"/>
      <c r="F713" s="3"/>
      <c r="G713" s="3"/>
      <c r="H713" s="3"/>
      <c r="I713" s="3"/>
      <c r="J713" s="3"/>
      <c r="K713" s="3"/>
    </row>
    <row r="714" ht="15.75" customHeight="1">
      <c r="A714" s="3"/>
      <c r="B714" s="3"/>
      <c r="C714" s="3"/>
      <c r="D714" s="3"/>
      <c r="E714" s="3"/>
      <c r="F714" s="3"/>
      <c r="G714" s="3"/>
      <c r="H714" s="3"/>
      <c r="I714" s="3"/>
      <c r="J714" s="3"/>
      <c r="K714" s="3"/>
    </row>
    <row r="715" ht="15.75" customHeight="1">
      <c r="A715" s="3"/>
      <c r="B715" s="3"/>
      <c r="C715" s="3"/>
      <c r="D715" s="3"/>
      <c r="E715" s="3"/>
      <c r="F715" s="3"/>
      <c r="G715" s="3"/>
      <c r="H715" s="3"/>
      <c r="I715" s="3"/>
      <c r="J715" s="3"/>
      <c r="K715" s="3"/>
    </row>
    <row r="716" ht="15.75" customHeight="1">
      <c r="A716" s="3"/>
      <c r="B716" s="3"/>
      <c r="C716" s="3"/>
      <c r="D716" s="3"/>
      <c r="E716" s="3"/>
      <c r="F716" s="3"/>
      <c r="G716" s="3"/>
      <c r="H716" s="3"/>
      <c r="I716" s="3"/>
      <c r="J716" s="3"/>
      <c r="K716" s="3"/>
    </row>
    <row r="717" ht="15.75" customHeight="1">
      <c r="A717" s="3"/>
      <c r="B717" s="3"/>
      <c r="C717" s="3"/>
      <c r="D717" s="3"/>
      <c r="E717" s="3"/>
      <c r="F717" s="3"/>
      <c r="G717" s="3"/>
      <c r="H717" s="3"/>
      <c r="I717" s="3"/>
      <c r="J717" s="3"/>
      <c r="K717" s="3"/>
    </row>
    <row r="718" ht="15.75" customHeight="1">
      <c r="A718" s="3"/>
      <c r="B718" s="3"/>
      <c r="C718" s="3"/>
      <c r="D718" s="3"/>
      <c r="E718" s="3"/>
      <c r="F718" s="3"/>
      <c r="G718" s="3"/>
      <c r="H718" s="3"/>
      <c r="I718" s="3"/>
      <c r="J718" s="3"/>
      <c r="K718" s="3"/>
    </row>
    <row r="719" ht="15.75" customHeight="1">
      <c r="A719" s="3"/>
      <c r="B719" s="3"/>
      <c r="C719" s="3"/>
      <c r="D719" s="3"/>
      <c r="E719" s="3"/>
      <c r="F719" s="3"/>
      <c r="G719" s="3"/>
      <c r="H719" s="3"/>
      <c r="I719" s="3"/>
      <c r="J719" s="3"/>
      <c r="K719" s="3"/>
    </row>
    <row r="720" ht="15.75" customHeight="1">
      <c r="A720" s="3"/>
      <c r="B720" s="3"/>
      <c r="C720" s="3"/>
      <c r="D720" s="3"/>
      <c r="E720" s="3"/>
      <c r="F720" s="3"/>
      <c r="G720" s="3"/>
      <c r="H720" s="3"/>
      <c r="I720" s="3"/>
      <c r="J720" s="3"/>
      <c r="K720" s="3"/>
    </row>
    <row r="721" ht="15.75" customHeight="1">
      <c r="A721" s="3"/>
      <c r="B721" s="3"/>
      <c r="C721" s="3"/>
      <c r="D721" s="3"/>
      <c r="E721" s="3"/>
      <c r="F721" s="3"/>
      <c r="G721" s="3"/>
      <c r="H721" s="3"/>
      <c r="I721" s="3"/>
      <c r="J721" s="3"/>
      <c r="K721" s="3"/>
    </row>
    <row r="722" ht="15.75" customHeight="1">
      <c r="A722" s="3"/>
      <c r="B722" s="3"/>
      <c r="C722" s="3"/>
      <c r="D722" s="3"/>
      <c r="E722" s="3"/>
      <c r="F722" s="3"/>
      <c r="G722" s="3"/>
      <c r="H722" s="3"/>
      <c r="I722" s="3"/>
      <c r="J722" s="3"/>
      <c r="K722" s="3"/>
    </row>
    <row r="723" ht="15.75" customHeight="1">
      <c r="A723" s="3"/>
      <c r="B723" s="3"/>
      <c r="C723" s="3"/>
      <c r="D723" s="3"/>
      <c r="E723" s="3"/>
      <c r="F723" s="3"/>
      <c r="G723" s="3"/>
      <c r="H723" s="3"/>
      <c r="I723" s="3"/>
      <c r="J723" s="3"/>
      <c r="K723" s="3"/>
    </row>
    <row r="724" ht="15.75" customHeight="1">
      <c r="A724" s="3"/>
      <c r="B724" s="3"/>
      <c r="C724" s="3"/>
      <c r="D724" s="3"/>
      <c r="E724" s="3"/>
      <c r="F724" s="3"/>
      <c r="G724" s="3"/>
      <c r="H724" s="3"/>
      <c r="I724" s="3"/>
      <c r="J724" s="3"/>
      <c r="K724" s="3"/>
    </row>
    <row r="725" ht="15.75" customHeight="1">
      <c r="A725" s="3"/>
      <c r="B725" s="3"/>
      <c r="C725" s="3"/>
      <c r="D725" s="3"/>
      <c r="E725" s="3"/>
      <c r="F725" s="3"/>
      <c r="G725" s="3"/>
      <c r="H725" s="3"/>
      <c r="I725" s="3"/>
      <c r="J725" s="3"/>
      <c r="K725" s="3"/>
    </row>
    <row r="726" ht="15.75" customHeight="1">
      <c r="A726" s="3"/>
      <c r="B726" s="3"/>
      <c r="C726" s="3"/>
      <c r="D726" s="3"/>
      <c r="E726" s="3"/>
      <c r="F726" s="3"/>
      <c r="G726" s="3"/>
      <c r="H726" s="3"/>
      <c r="I726" s="3"/>
      <c r="J726" s="3"/>
      <c r="K726" s="3"/>
    </row>
    <row r="727" ht="15.75" customHeight="1">
      <c r="A727" s="3"/>
      <c r="B727" s="3"/>
      <c r="C727" s="3"/>
      <c r="D727" s="3"/>
      <c r="E727" s="3"/>
      <c r="F727" s="3"/>
      <c r="G727" s="3"/>
      <c r="H727" s="3"/>
      <c r="I727" s="3"/>
      <c r="J727" s="3"/>
      <c r="K727" s="3"/>
    </row>
    <row r="728" ht="15.75" customHeight="1">
      <c r="A728" s="3"/>
      <c r="B728" s="3"/>
      <c r="C728" s="3"/>
      <c r="D728" s="3"/>
      <c r="E728" s="3"/>
      <c r="F728" s="3"/>
      <c r="G728" s="3"/>
      <c r="H728" s="3"/>
      <c r="I728" s="3"/>
      <c r="J728" s="3"/>
      <c r="K728" s="3"/>
    </row>
    <row r="729" ht="15.75" customHeight="1">
      <c r="A729" s="3"/>
      <c r="B729" s="3"/>
      <c r="C729" s="3"/>
      <c r="D729" s="3"/>
      <c r="E729" s="3"/>
      <c r="F729" s="3"/>
      <c r="G729" s="3"/>
      <c r="H729" s="3"/>
      <c r="I729" s="3"/>
      <c r="J729" s="3"/>
      <c r="K729" s="3"/>
    </row>
    <row r="730" ht="15.75" customHeight="1">
      <c r="A730" s="3"/>
      <c r="B730" s="3"/>
      <c r="C730" s="3"/>
      <c r="D730" s="3"/>
      <c r="E730" s="3"/>
      <c r="F730" s="3"/>
      <c r="G730" s="3"/>
      <c r="H730" s="3"/>
      <c r="I730" s="3"/>
      <c r="J730" s="3"/>
      <c r="K730" s="3"/>
    </row>
    <row r="731" ht="15.75" customHeight="1">
      <c r="A731" s="3"/>
      <c r="B731" s="3"/>
      <c r="C731" s="3"/>
      <c r="D731" s="3"/>
      <c r="E731" s="3"/>
      <c r="F731" s="3"/>
      <c r="G731" s="3"/>
      <c r="H731" s="3"/>
      <c r="I731" s="3"/>
      <c r="J731" s="3"/>
      <c r="K731" s="3"/>
    </row>
    <row r="732" ht="15.75" customHeight="1">
      <c r="A732" s="3"/>
      <c r="B732" s="3"/>
      <c r="C732" s="3"/>
      <c r="D732" s="3"/>
      <c r="E732" s="3"/>
      <c r="F732" s="3"/>
      <c r="G732" s="3"/>
      <c r="H732" s="3"/>
      <c r="I732" s="3"/>
      <c r="J732" s="3"/>
      <c r="K732" s="3"/>
    </row>
    <row r="733" ht="15.75" customHeight="1">
      <c r="A733" s="3"/>
      <c r="B733" s="3"/>
      <c r="C733" s="3"/>
      <c r="D733" s="3"/>
      <c r="E733" s="3"/>
      <c r="F733" s="3"/>
      <c r="G733" s="3"/>
      <c r="H733" s="3"/>
      <c r="I733" s="3"/>
      <c r="J733" s="3"/>
      <c r="K733" s="3"/>
    </row>
    <row r="734" ht="15.75" customHeight="1">
      <c r="A734" s="3"/>
      <c r="B734" s="3"/>
      <c r="C734" s="3"/>
      <c r="D734" s="3"/>
      <c r="E734" s="3"/>
      <c r="F734" s="3"/>
      <c r="G734" s="3"/>
      <c r="H734" s="3"/>
      <c r="I734" s="3"/>
      <c r="J734" s="3"/>
      <c r="K734" s="3"/>
    </row>
    <row r="735" ht="15.75" customHeight="1">
      <c r="A735" s="3"/>
      <c r="B735" s="3"/>
      <c r="C735" s="3"/>
      <c r="D735" s="3"/>
      <c r="E735" s="3"/>
      <c r="F735" s="3"/>
      <c r="G735" s="3"/>
      <c r="H735" s="3"/>
      <c r="I735" s="3"/>
      <c r="J735" s="3"/>
      <c r="K735" s="3"/>
    </row>
    <row r="736" ht="15.75" customHeight="1">
      <c r="A736" s="3"/>
      <c r="B736" s="3"/>
      <c r="C736" s="3"/>
      <c r="D736" s="3"/>
      <c r="E736" s="3"/>
      <c r="F736" s="3"/>
      <c r="G736" s="3"/>
      <c r="H736" s="3"/>
      <c r="I736" s="3"/>
      <c r="J736" s="3"/>
      <c r="K736" s="3"/>
    </row>
    <row r="737" ht="15.75" customHeight="1">
      <c r="A737" s="3"/>
      <c r="B737" s="3"/>
      <c r="C737" s="3"/>
      <c r="D737" s="3"/>
      <c r="E737" s="3"/>
      <c r="F737" s="3"/>
      <c r="G737" s="3"/>
      <c r="H737" s="3"/>
      <c r="I737" s="3"/>
      <c r="J737" s="3"/>
      <c r="K737" s="3"/>
    </row>
    <row r="738" ht="15.75" customHeight="1">
      <c r="A738" s="3"/>
      <c r="B738" s="3"/>
      <c r="C738" s="3"/>
      <c r="D738" s="3"/>
      <c r="E738" s="3"/>
      <c r="F738" s="3"/>
      <c r="G738" s="3"/>
      <c r="H738" s="3"/>
      <c r="I738" s="3"/>
      <c r="J738" s="3"/>
      <c r="K738" s="3"/>
    </row>
    <row r="739" ht="15.75" customHeight="1">
      <c r="A739" s="3"/>
      <c r="B739" s="3"/>
      <c r="C739" s="3"/>
      <c r="D739" s="3"/>
      <c r="E739" s="3"/>
      <c r="F739" s="3"/>
      <c r="G739" s="3"/>
      <c r="H739" s="3"/>
      <c r="I739" s="3"/>
      <c r="J739" s="3"/>
      <c r="K739" s="3"/>
    </row>
    <row r="740" ht="15.75" customHeight="1">
      <c r="A740" s="3"/>
      <c r="B740" s="3"/>
      <c r="C740" s="3"/>
      <c r="D740" s="3"/>
      <c r="E740" s="3"/>
      <c r="F740" s="3"/>
      <c r="G740" s="3"/>
      <c r="H740" s="3"/>
      <c r="I740" s="3"/>
      <c r="J740" s="3"/>
      <c r="K740" s="3"/>
    </row>
    <row r="741" ht="15.75" customHeight="1">
      <c r="A741" s="3"/>
      <c r="B741" s="3"/>
      <c r="C741" s="3"/>
      <c r="D741" s="3"/>
      <c r="E741" s="3"/>
      <c r="F741" s="3"/>
      <c r="G741" s="3"/>
      <c r="H741" s="3"/>
      <c r="I741" s="3"/>
      <c r="J741" s="3"/>
      <c r="K741" s="3"/>
    </row>
    <row r="742" ht="15.75" customHeight="1">
      <c r="A742" s="3"/>
      <c r="B742" s="3"/>
      <c r="C742" s="3"/>
      <c r="D742" s="3"/>
      <c r="E742" s="3"/>
      <c r="F742" s="3"/>
      <c r="G742" s="3"/>
      <c r="H742" s="3"/>
      <c r="I742" s="3"/>
      <c r="J742" s="3"/>
      <c r="K742" s="3"/>
    </row>
    <row r="743" ht="15.75" customHeight="1">
      <c r="A743" s="3"/>
      <c r="B743" s="3"/>
      <c r="C743" s="3"/>
      <c r="D743" s="3"/>
      <c r="E743" s="3"/>
      <c r="F743" s="3"/>
      <c r="G743" s="3"/>
      <c r="H743" s="3"/>
      <c r="I743" s="3"/>
      <c r="J743" s="3"/>
      <c r="K743" s="3"/>
    </row>
    <row r="744" ht="15.75" customHeight="1">
      <c r="A744" s="3"/>
      <c r="B744" s="3"/>
      <c r="C744" s="3"/>
      <c r="D744" s="3"/>
      <c r="E744" s="3"/>
      <c r="F744" s="3"/>
      <c r="G744" s="3"/>
      <c r="H744" s="3"/>
      <c r="I744" s="3"/>
      <c r="J744" s="3"/>
      <c r="K744" s="3"/>
    </row>
    <row r="745" ht="15.75" customHeight="1">
      <c r="A745" s="3"/>
      <c r="B745" s="3"/>
      <c r="C745" s="3"/>
      <c r="D745" s="3"/>
      <c r="E745" s="3"/>
      <c r="F745" s="3"/>
      <c r="G745" s="3"/>
      <c r="H745" s="3"/>
      <c r="I745" s="3"/>
      <c r="J745" s="3"/>
      <c r="K745" s="3"/>
    </row>
    <row r="746" ht="15.75" customHeight="1">
      <c r="A746" s="3"/>
      <c r="B746" s="3"/>
      <c r="C746" s="3"/>
      <c r="D746" s="3"/>
      <c r="E746" s="3"/>
      <c r="F746" s="3"/>
      <c r="G746" s="3"/>
      <c r="H746" s="3"/>
      <c r="I746" s="3"/>
      <c r="J746" s="3"/>
      <c r="K746" s="3"/>
    </row>
    <row r="747" ht="15.75" customHeight="1">
      <c r="A747" s="3"/>
      <c r="B747" s="3"/>
      <c r="C747" s="3"/>
      <c r="D747" s="3"/>
      <c r="E747" s="3"/>
      <c r="F747" s="3"/>
      <c r="G747" s="3"/>
      <c r="H747" s="3"/>
      <c r="I747" s="3"/>
      <c r="J747" s="3"/>
      <c r="K747" s="3"/>
    </row>
    <row r="748" ht="15.75" customHeight="1">
      <c r="A748" s="3"/>
      <c r="B748" s="3"/>
      <c r="C748" s="3"/>
      <c r="D748" s="3"/>
      <c r="E748" s="3"/>
      <c r="F748" s="3"/>
      <c r="G748" s="3"/>
      <c r="H748" s="3"/>
      <c r="I748" s="3"/>
      <c r="J748" s="3"/>
      <c r="K748" s="3"/>
    </row>
    <row r="749" ht="15.75" customHeight="1">
      <c r="A749" s="3"/>
      <c r="B749" s="3"/>
      <c r="C749" s="3"/>
      <c r="D749" s="3"/>
      <c r="E749" s="3"/>
      <c r="F749" s="3"/>
      <c r="G749" s="3"/>
      <c r="H749" s="3"/>
      <c r="I749" s="3"/>
      <c r="J749" s="3"/>
      <c r="K749" s="3"/>
    </row>
    <row r="750" ht="15.75" customHeight="1">
      <c r="A750" s="3"/>
      <c r="B750" s="3"/>
      <c r="C750" s="3"/>
      <c r="D750" s="3"/>
      <c r="E750" s="3"/>
      <c r="F750" s="3"/>
      <c r="G750" s="3"/>
      <c r="H750" s="3"/>
      <c r="I750" s="3"/>
      <c r="J750" s="3"/>
      <c r="K750" s="3"/>
    </row>
    <row r="751" ht="15.75" customHeight="1">
      <c r="A751" s="3"/>
      <c r="B751" s="3"/>
      <c r="C751" s="3"/>
      <c r="D751" s="3"/>
      <c r="E751" s="3"/>
      <c r="F751" s="3"/>
      <c r="G751" s="3"/>
      <c r="H751" s="3"/>
      <c r="I751" s="3"/>
      <c r="J751" s="3"/>
      <c r="K751" s="3"/>
    </row>
    <row r="752" ht="15.75" customHeight="1">
      <c r="A752" s="3"/>
      <c r="B752" s="3"/>
      <c r="C752" s="3"/>
      <c r="D752" s="3"/>
      <c r="E752" s="3"/>
      <c r="F752" s="3"/>
      <c r="G752" s="3"/>
      <c r="H752" s="3"/>
      <c r="I752" s="3"/>
      <c r="J752" s="3"/>
      <c r="K752" s="3"/>
    </row>
    <row r="753" ht="15.75" customHeight="1">
      <c r="A753" s="3"/>
      <c r="B753" s="3"/>
      <c r="C753" s="3"/>
      <c r="D753" s="3"/>
      <c r="E753" s="3"/>
      <c r="F753" s="3"/>
      <c r="G753" s="3"/>
      <c r="H753" s="3"/>
      <c r="I753" s="3"/>
      <c r="J753" s="3"/>
      <c r="K753" s="3"/>
    </row>
    <row r="754" ht="15.75" customHeight="1">
      <c r="A754" s="3"/>
      <c r="B754" s="3"/>
      <c r="C754" s="3"/>
      <c r="D754" s="3"/>
      <c r="E754" s="3"/>
      <c r="F754" s="3"/>
      <c r="G754" s="3"/>
      <c r="H754" s="3"/>
      <c r="I754" s="3"/>
      <c r="J754" s="3"/>
      <c r="K754" s="3"/>
    </row>
    <row r="755" ht="15.75" customHeight="1">
      <c r="A755" s="3"/>
      <c r="B755" s="3"/>
      <c r="C755" s="3"/>
      <c r="D755" s="3"/>
      <c r="E755" s="3"/>
      <c r="F755" s="3"/>
      <c r="G755" s="3"/>
      <c r="H755" s="3"/>
      <c r="I755" s="3"/>
      <c r="J755" s="3"/>
      <c r="K755" s="3"/>
    </row>
    <row r="756" ht="15.75" customHeight="1">
      <c r="A756" s="3"/>
      <c r="B756" s="3"/>
      <c r="C756" s="3"/>
      <c r="D756" s="3"/>
      <c r="E756" s="3"/>
      <c r="F756" s="3"/>
      <c r="G756" s="3"/>
      <c r="H756" s="3"/>
      <c r="I756" s="3"/>
      <c r="J756" s="3"/>
      <c r="K756" s="3"/>
    </row>
    <row r="757" ht="15.75" customHeight="1">
      <c r="A757" s="3"/>
      <c r="B757" s="3"/>
      <c r="C757" s="3"/>
      <c r="D757" s="3"/>
      <c r="E757" s="3"/>
      <c r="F757" s="3"/>
      <c r="G757" s="3"/>
      <c r="H757" s="3"/>
      <c r="I757" s="3"/>
      <c r="J757" s="3"/>
      <c r="K757" s="3"/>
    </row>
    <row r="758" ht="15.75" customHeight="1">
      <c r="A758" s="3"/>
      <c r="B758" s="3"/>
      <c r="C758" s="3"/>
      <c r="D758" s="3"/>
      <c r="E758" s="3"/>
      <c r="F758" s="3"/>
      <c r="G758" s="3"/>
      <c r="H758" s="3"/>
      <c r="I758" s="3"/>
      <c r="J758" s="3"/>
      <c r="K758" s="3"/>
    </row>
    <row r="759" ht="15.75" customHeight="1">
      <c r="A759" s="3"/>
      <c r="B759" s="3"/>
      <c r="C759" s="3"/>
      <c r="D759" s="3"/>
      <c r="E759" s="3"/>
      <c r="F759" s="3"/>
      <c r="G759" s="3"/>
      <c r="H759" s="3"/>
      <c r="I759" s="3"/>
      <c r="J759" s="3"/>
      <c r="K759" s="3"/>
    </row>
    <row r="760" ht="15.75" customHeight="1">
      <c r="A760" s="3"/>
      <c r="B760" s="3"/>
      <c r="C760" s="3"/>
      <c r="D760" s="3"/>
      <c r="E760" s="3"/>
      <c r="F760" s="3"/>
      <c r="G760" s="3"/>
      <c r="H760" s="3"/>
      <c r="I760" s="3"/>
      <c r="J760" s="3"/>
      <c r="K760" s="3"/>
    </row>
    <row r="761" ht="15.75" customHeight="1">
      <c r="A761" s="3"/>
      <c r="B761" s="3"/>
      <c r="C761" s="3"/>
      <c r="D761" s="3"/>
      <c r="E761" s="3"/>
      <c r="F761" s="3"/>
      <c r="G761" s="3"/>
      <c r="H761" s="3"/>
      <c r="I761" s="3"/>
      <c r="J761" s="3"/>
      <c r="K761" s="3"/>
    </row>
    <row r="762" ht="15.75" customHeight="1">
      <c r="A762" s="3"/>
      <c r="B762" s="3"/>
      <c r="C762" s="3"/>
      <c r="D762" s="3"/>
      <c r="E762" s="3"/>
      <c r="F762" s="3"/>
      <c r="G762" s="3"/>
      <c r="H762" s="3"/>
      <c r="I762" s="3"/>
      <c r="J762" s="3"/>
      <c r="K762" s="3"/>
    </row>
    <row r="763" ht="15.75" customHeight="1">
      <c r="A763" s="3"/>
      <c r="B763" s="3"/>
      <c r="C763" s="3"/>
      <c r="D763" s="3"/>
      <c r="E763" s="3"/>
      <c r="F763" s="3"/>
      <c r="G763" s="3"/>
      <c r="H763" s="3"/>
      <c r="I763" s="3"/>
      <c r="J763" s="3"/>
      <c r="K763" s="3"/>
    </row>
    <row r="764" ht="15.75" customHeight="1">
      <c r="A764" s="3"/>
      <c r="B764" s="3"/>
      <c r="C764" s="3"/>
      <c r="D764" s="3"/>
      <c r="E764" s="3"/>
      <c r="F764" s="3"/>
      <c r="G764" s="3"/>
      <c r="H764" s="3"/>
      <c r="I764" s="3"/>
      <c r="J764" s="3"/>
      <c r="K764" s="3"/>
    </row>
    <row r="765" ht="15.75" customHeight="1">
      <c r="A765" s="3"/>
      <c r="B765" s="3"/>
      <c r="C765" s="3"/>
      <c r="D765" s="3"/>
      <c r="E765" s="3"/>
      <c r="F765" s="3"/>
      <c r="G765" s="3"/>
      <c r="H765" s="3"/>
      <c r="I765" s="3"/>
      <c r="J765" s="3"/>
      <c r="K765" s="3"/>
    </row>
    <row r="766" ht="15.75" customHeight="1">
      <c r="A766" s="3"/>
      <c r="B766" s="3"/>
      <c r="C766" s="3"/>
      <c r="D766" s="3"/>
      <c r="E766" s="3"/>
      <c r="F766" s="3"/>
      <c r="G766" s="3"/>
      <c r="H766" s="3"/>
      <c r="I766" s="3"/>
      <c r="J766" s="3"/>
      <c r="K766" s="3"/>
    </row>
    <row r="767" ht="15.75" customHeight="1">
      <c r="A767" s="3"/>
      <c r="B767" s="3"/>
      <c r="C767" s="3"/>
      <c r="D767" s="3"/>
      <c r="E767" s="3"/>
      <c r="F767" s="3"/>
      <c r="G767" s="3"/>
      <c r="H767" s="3"/>
      <c r="I767" s="3"/>
      <c r="J767" s="3"/>
      <c r="K767" s="3"/>
    </row>
    <row r="768" ht="15.75" customHeight="1">
      <c r="A768" s="3"/>
      <c r="B768" s="3"/>
      <c r="C768" s="3"/>
      <c r="D768" s="3"/>
      <c r="E768" s="3"/>
      <c r="F768" s="3"/>
      <c r="G768" s="3"/>
      <c r="H768" s="3"/>
      <c r="I768" s="3"/>
      <c r="J768" s="3"/>
      <c r="K768" s="3"/>
    </row>
    <row r="769" ht="15.75" customHeight="1">
      <c r="A769" s="3"/>
      <c r="B769" s="3"/>
      <c r="C769" s="3"/>
      <c r="D769" s="3"/>
      <c r="E769" s="3"/>
      <c r="F769" s="3"/>
      <c r="G769" s="3"/>
      <c r="H769" s="3"/>
      <c r="I769" s="3"/>
      <c r="J769" s="3"/>
      <c r="K769" s="3"/>
    </row>
    <row r="770" ht="15.75" customHeight="1">
      <c r="A770" s="3"/>
      <c r="B770" s="3"/>
      <c r="C770" s="3"/>
      <c r="D770" s="3"/>
      <c r="E770" s="3"/>
      <c r="F770" s="3"/>
      <c r="G770" s="3"/>
      <c r="H770" s="3"/>
      <c r="I770" s="3"/>
      <c r="J770" s="3"/>
      <c r="K770" s="3"/>
    </row>
    <row r="771" ht="15.75" customHeight="1">
      <c r="A771" s="3"/>
      <c r="B771" s="3"/>
      <c r="C771" s="3"/>
      <c r="D771" s="3"/>
      <c r="E771" s="3"/>
      <c r="F771" s="3"/>
      <c r="G771" s="3"/>
      <c r="H771" s="3"/>
      <c r="I771" s="3"/>
      <c r="J771" s="3"/>
      <c r="K771" s="3"/>
    </row>
    <row r="772" ht="15.75" customHeight="1">
      <c r="A772" s="3"/>
      <c r="B772" s="3"/>
      <c r="C772" s="3"/>
      <c r="D772" s="3"/>
      <c r="E772" s="3"/>
      <c r="F772" s="3"/>
      <c r="G772" s="3"/>
      <c r="H772" s="3"/>
      <c r="I772" s="3"/>
      <c r="J772" s="3"/>
      <c r="K772" s="3"/>
    </row>
    <row r="773" ht="15.75" customHeight="1">
      <c r="A773" s="3"/>
      <c r="B773" s="3"/>
      <c r="C773" s="3"/>
      <c r="D773" s="3"/>
      <c r="E773" s="3"/>
      <c r="F773" s="3"/>
      <c r="G773" s="3"/>
      <c r="H773" s="3"/>
      <c r="I773" s="3"/>
      <c r="J773" s="3"/>
      <c r="K773" s="3"/>
    </row>
    <row r="774" ht="15.75" customHeight="1">
      <c r="A774" s="3"/>
      <c r="B774" s="3"/>
      <c r="C774" s="3"/>
      <c r="D774" s="3"/>
      <c r="E774" s="3"/>
      <c r="F774" s="3"/>
      <c r="G774" s="3"/>
      <c r="H774" s="3"/>
      <c r="I774" s="3"/>
      <c r="J774" s="3"/>
      <c r="K774" s="3"/>
    </row>
    <row r="775" ht="15.75" customHeight="1">
      <c r="A775" s="3"/>
      <c r="B775" s="3"/>
      <c r="C775" s="3"/>
      <c r="D775" s="3"/>
      <c r="E775" s="3"/>
      <c r="F775" s="3"/>
      <c r="G775" s="3"/>
      <c r="H775" s="3"/>
      <c r="I775" s="3"/>
      <c r="J775" s="3"/>
      <c r="K775" s="3"/>
    </row>
    <row r="776" ht="15.75" customHeight="1">
      <c r="A776" s="3"/>
      <c r="B776" s="3"/>
      <c r="C776" s="3"/>
      <c r="D776" s="3"/>
      <c r="E776" s="3"/>
      <c r="F776" s="3"/>
      <c r="G776" s="3"/>
      <c r="H776" s="3"/>
      <c r="I776" s="3"/>
      <c r="J776" s="3"/>
      <c r="K776" s="3"/>
    </row>
    <row r="777" ht="15.75" customHeight="1">
      <c r="A777" s="3"/>
      <c r="B777" s="3"/>
      <c r="C777" s="3"/>
      <c r="D777" s="3"/>
      <c r="E777" s="3"/>
      <c r="F777" s="3"/>
      <c r="G777" s="3"/>
      <c r="H777" s="3"/>
      <c r="I777" s="3"/>
      <c r="J777" s="3"/>
      <c r="K777" s="3"/>
    </row>
    <row r="778" ht="15.75" customHeight="1">
      <c r="A778" s="3"/>
      <c r="B778" s="3"/>
      <c r="C778" s="3"/>
      <c r="D778" s="3"/>
      <c r="E778" s="3"/>
      <c r="F778" s="3"/>
      <c r="G778" s="3"/>
      <c r="H778" s="3"/>
      <c r="I778" s="3"/>
      <c r="J778" s="3"/>
      <c r="K778" s="3"/>
    </row>
    <row r="779" ht="15.75" customHeight="1">
      <c r="A779" s="3"/>
      <c r="B779" s="3"/>
      <c r="C779" s="3"/>
      <c r="D779" s="3"/>
      <c r="E779" s="3"/>
      <c r="F779" s="3"/>
      <c r="G779" s="3"/>
      <c r="H779" s="3"/>
      <c r="I779" s="3"/>
      <c r="J779" s="3"/>
      <c r="K779" s="3"/>
    </row>
    <row r="780" ht="15.75" customHeight="1">
      <c r="A780" s="3"/>
      <c r="B780" s="3"/>
      <c r="C780" s="3"/>
      <c r="D780" s="3"/>
      <c r="E780" s="3"/>
      <c r="F780" s="3"/>
      <c r="G780" s="3"/>
      <c r="H780" s="3"/>
      <c r="I780" s="3"/>
      <c r="J780" s="3"/>
      <c r="K780" s="3"/>
    </row>
    <row r="781" ht="15.75" customHeight="1">
      <c r="A781" s="3"/>
      <c r="B781" s="3"/>
      <c r="C781" s="3"/>
      <c r="D781" s="3"/>
      <c r="E781" s="3"/>
      <c r="F781" s="3"/>
      <c r="G781" s="3"/>
      <c r="H781" s="3"/>
      <c r="I781" s="3"/>
      <c r="J781" s="3"/>
      <c r="K781" s="3"/>
    </row>
    <row r="782" ht="15.75" customHeight="1">
      <c r="A782" s="3"/>
      <c r="B782" s="3"/>
      <c r="C782" s="3"/>
      <c r="D782" s="3"/>
      <c r="E782" s="3"/>
      <c r="F782" s="3"/>
      <c r="G782" s="3"/>
      <c r="H782" s="3"/>
      <c r="I782" s="3"/>
      <c r="J782" s="3"/>
      <c r="K782" s="3"/>
    </row>
    <row r="783" ht="15.75" customHeight="1">
      <c r="A783" s="3"/>
      <c r="B783" s="3"/>
      <c r="C783" s="3"/>
      <c r="D783" s="3"/>
      <c r="E783" s="3"/>
      <c r="F783" s="3"/>
      <c r="G783" s="3"/>
      <c r="H783" s="3"/>
      <c r="I783" s="3"/>
      <c r="J783" s="3"/>
      <c r="K783" s="3"/>
    </row>
    <row r="784" ht="15.75" customHeight="1">
      <c r="A784" s="3"/>
      <c r="B784" s="3"/>
      <c r="C784" s="3"/>
      <c r="D784" s="3"/>
      <c r="E784" s="3"/>
      <c r="F784" s="3"/>
      <c r="G784" s="3"/>
      <c r="H784" s="3"/>
      <c r="I784" s="3"/>
      <c r="J784" s="3"/>
      <c r="K784" s="3"/>
    </row>
    <row r="785" ht="15.75" customHeight="1">
      <c r="A785" s="3"/>
      <c r="B785" s="3"/>
      <c r="C785" s="3"/>
      <c r="D785" s="3"/>
      <c r="E785" s="3"/>
      <c r="F785" s="3"/>
      <c r="G785" s="3"/>
      <c r="H785" s="3"/>
      <c r="I785" s="3"/>
      <c r="J785" s="3"/>
      <c r="K785" s="3"/>
    </row>
    <row r="786" ht="15.75" customHeight="1">
      <c r="A786" s="3"/>
      <c r="B786" s="3"/>
      <c r="C786" s="3"/>
      <c r="D786" s="3"/>
      <c r="E786" s="3"/>
      <c r="F786" s="3"/>
      <c r="G786" s="3"/>
      <c r="H786" s="3"/>
      <c r="I786" s="3"/>
      <c r="J786" s="3"/>
      <c r="K786" s="3"/>
    </row>
    <row r="787" ht="15.75" customHeight="1">
      <c r="A787" s="3"/>
      <c r="B787" s="3"/>
      <c r="C787" s="3"/>
      <c r="D787" s="3"/>
      <c r="E787" s="3"/>
      <c r="F787" s="3"/>
      <c r="G787" s="3"/>
      <c r="H787" s="3"/>
      <c r="I787" s="3"/>
      <c r="J787" s="3"/>
      <c r="K787" s="3"/>
    </row>
    <row r="788" ht="15.75" customHeight="1">
      <c r="A788" s="3"/>
      <c r="B788" s="3"/>
      <c r="C788" s="3"/>
      <c r="D788" s="3"/>
      <c r="E788" s="3"/>
      <c r="F788" s="3"/>
      <c r="G788" s="3"/>
      <c r="H788" s="3"/>
      <c r="I788" s="3"/>
      <c r="J788" s="3"/>
      <c r="K788" s="3"/>
    </row>
    <row r="789" ht="15.75" customHeight="1">
      <c r="A789" s="3"/>
      <c r="B789" s="3"/>
      <c r="C789" s="3"/>
      <c r="D789" s="3"/>
      <c r="E789" s="3"/>
      <c r="F789" s="3"/>
      <c r="G789" s="3"/>
      <c r="H789" s="3"/>
      <c r="I789" s="3"/>
      <c r="J789" s="3"/>
      <c r="K789" s="3"/>
    </row>
    <row r="790" ht="15.75" customHeight="1">
      <c r="A790" s="3"/>
      <c r="B790" s="3"/>
      <c r="C790" s="3"/>
      <c r="D790" s="3"/>
      <c r="E790" s="3"/>
      <c r="F790" s="3"/>
      <c r="G790" s="3"/>
      <c r="H790" s="3"/>
      <c r="I790" s="3"/>
      <c r="J790" s="3"/>
      <c r="K790" s="3"/>
    </row>
    <row r="791" ht="15.75" customHeight="1">
      <c r="A791" s="3"/>
      <c r="B791" s="3"/>
      <c r="C791" s="3"/>
      <c r="D791" s="3"/>
      <c r="E791" s="3"/>
      <c r="F791" s="3"/>
      <c r="G791" s="3"/>
      <c r="H791" s="3"/>
      <c r="I791" s="3"/>
      <c r="J791" s="3"/>
      <c r="K791" s="3"/>
    </row>
    <row r="792" ht="15.75" customHeight="1">
      <c r="A792" s="3"/>
      <c r="B792" s="3"/>
      <c r="C792" s="3"/>
      <c r="D792" s="3"/>
      <c r="E792" s="3"/>
      <c r="F792" s="3"/>
      <c r="G792" s="3"/>
      <c r="H792" s="3"/>
      <c r="I792" s="3"/>
      <c r="J792" s="3"/>
      <c r="K792" s="3"/>
    </row>
    <row r="793" ht="15.75" customHeight="1">
      <c r="A793" s="3"/>
      <c r="B793" s="3"/>
      <c r="C793" s="3"/>
      <c r="D793" s="3"/>
      <c r="E793" s="3"/>
      <c r="F793" s="3"/>
      <c r="G793" s="3"/>
      <c r="H793" s="3"/>
      <c r="I793" s="3"/>
      <c r="J793" s="3"/>
      <c r="K793" s="3"/>
    </row>
    <row r="794" ht="15.75" customHeight="1">
      <c r="A794" s="3"/>
      <c r="B794" s="3"/>
      <c r="C794" s="3"/>
      <c r="D794" s="3"/>
      <c r="E794" s="3"/>
      <c r="F794" s="3"/>
      <c r="G794" s="3"/>
      <c r="H794" s="3"/>
      <c r="I794" s="3"/>
      <c r="J794" s="3"/>
      <c r="K794" s="3"/>
    </row>
    <row r="795" ht="15.75" customHeight="1">
      <c r="A795" s="3"/>
      <c r="B795" s="3"/>
      <c r="C795" s="3"/>
      <c r="D795" s="3"/>
      <c r="E795" s="3"/>
      <c r="F795" s="3"/>
      <c r="G795" s="3"/>
      <c r="H795" s="3"/>
      <c r="I795" s="3"/>
      <c r="J795" s="3"/>
      <c r="K795" s="3"/>
    </row>
    <row r="796" ht="15.75" customHeight="1">
      <c r="A796" s="3"/>
      <c r="B796" s="3"/>
      <c r="C796" s="3"/>
      <c r="D796" s="3"/>
      <c r="E796" s="3"/>
      <c r="F796" s="3"/>
      <c r="G796" s="3"/>
      <c r="H796" s="3"/>
      <c r="I796" s="3"/>
      <c r="J796" s="3"/>
      <c r="K796" s="3"/>
    </row>
    <row r="797" ht="15.75" customHeight="1">
      <c r="A797" s="3"/>
      <c r="B797" s="3"/>
      <c r="C797" s="3"/>
      <c r="D797" s="3"/>
      <c r="E797" s="3"/>
      <c r="F797" s="3"/>
      <c r="G797" s="3"/>
      <c r="H797" s="3"/>
      <c r="I797" s="3"/>
      <c r="J797" s="3"/>
      <c r="K797" s="3"/>
    </row>
    <row r="798" ht="15.75" customHeight="1">
      <c r="A798" s="3"/>
      <c r="B798" s="3"/>
      <c r="C798" s="3"/>
      <c r="D798" s="3"/>
      <c r="E798" s="3"/>
      <c r="F798" s="3"/>
      <c r="G798" s="3"/>
      <c r="H798" s="3"/>
      <c r="I798" s="3"/>
      <c r="J798" s="3"/>
      <c r="K798" s="3"/>
    </row>
    <row r="799" ht="15.75" customHeight="1">
      <c r="A799" s="3"/>
      <c r="B799" s="3"/>
      <c r="C799" s="3"/>
      <c r="D799" s="3"/>
      <c r="E799" s="3"/>
      <c r="F799" s="3"/>
      <c r="G799" s="3"/>
      <c r="H799" s="3"/>
      <c r="I799" s="3"/>
      <c r="J799" s="3"/>
      <c r="K799" s="3"/>
    </row>
    <row r="800" ht="15.75" customHeight="1">
      <c r="A800" s="3"/>
      <c r="B800" s="3"/>
      <c r="C800" s="3"/>
      <c r="D800" s="3"/>
      <c r="E800" s="3"/>
      <c r="F800" s="3"/>
      <c r="G800" s="3"/>
      <c r="H800" s="3"/>
      <c r="I800" s="3"/>
      <c r="J800" s="3"/>
      <c r="K800" s="3"/>
    </row>
    <row r="801" ht="15.75" customHeight="1">
      <c r="A801" s="3"/>
      <c r="B801" s="3"/>
      <c r="C801" s="3"/>
      <c r="D801" s="3"/>
      <c r="E801" s="3"/>
      <c r="F801" s="3"/>
      <c r="G801" s="3"/>
      <c r="H801" s="3"/>
      <c r="I801" s="3"/>
      <c r="J801" s="3"/>
      <c r="K801" s="3"/>
    </row>
    <row r="802" ht="15.75" customHeight="1">
      <c r="A802" s="3"/>
      <c r="B802" s="3"/>
      <c r="C802" s="3"/>
      <c r="D802" s="3"/>
      <c r="E802" s="3"/>
      <c r="F802" s="3"/>
      <c r="G802" s="3"/>
      <c r="H802" s="3"/>
      <c r="I802" s="3"/>
      <c r="J802" s="3"/>
      <c r="K802" s="3"/>
    </row>
    <row r="803" ht="15.75" customHeight="1">
      <c r="A803" s="3"/>
      <c r="B803" s="3"/>
      <c r="C803" s="3"/>
      <c r="D803" s="3"/>
      <c r="E803" s="3"/>
      <c r="F803" s="3"/>
      <c r="G803" s="3"/>
      <c r="H803" s="3"/>
      <c r="I803" s="3"/>
      <c r="J803" s="3"/>
      <c r="K803" s="3"/>
    </row>
    <row r="804" ht="15.75" customHeight="1">
      <c r="A804" s="3"/>
      <c r="B804" s="3"/>
      <c r="C804" s="3"/>
      <c r="D804" s="3"/>
      <c r="E804" s="3"/>
      <c r="F804" s="3"/>
      <c r="G804" s="3"/>
      <c r="H804" s="3"/>
      <c r="I804" s="3"/>
      <c r="J804" s="3"/>
      <c r="K804" s="3"/>
    </row>
    <row r="805" ht="15.75" customHeight="1">
      <c r="A805" s="3"/>
      <c r="B805" s="3"/>
      <c r="C805" s="3"/>
      <c r="D805" s="3"/>
      <c r="E805" s="3"/>
      <c r="F805" s="3"/>
      <c r="G805" s="3"/>
      <c r="H805" s="3"/>
      <c r="I805" s="3"/>
      <c r="J805" s="3"/>
      <c r="K805" s="3"/>
    </row>
    <row r="806" ht="15.75" customHeight="1">
      <c r="A806" s="3"/>
      <c r="B806" s="3"/>
      <c r="C806" s="3"/>
      <c r="D806" s="3"/>
      <c r="E806" s="3"/>
      <c r="F806" s="3"/>
      <c r="G806" s="3"/>
      <c r="H806" s="3"/>
      <c r="I806" s="3"/>
      <c r="J806" s="3"/>
      <c r="K806" s="3"/>
    </row>
    <row r="807" ht="15.75" customHeight="1">
      <c r="A807" s="3"/>
      <c r="B807" s="3"/>
      <c r="C807" s="3"/>
      <c r="D807" s="3"/>
      <c r="E807" s="3"/>
      <c r="F807" s="3"/>
      <c r="G807" s="3"/>
      <c r="H807" s="3"/>
      <c r="I807" s="3"/>
      <c r="J807" s="3"/>
      <c r="K807" s="3"/>
    </row>
    <row r="808" ht="15.75" customHeight="1">
      <c r="A808" s="3"/>
      <c r="B808" s="3"/>
      <c r="C808" s="3"/>
      <c r="D808" s="3"/>
      <c r="E808" s="3"/>
      <c r="F808" s="3"/>
      <c r="G808" s="3"/>
      <c r="H808" s="3"/>
      <c r="I808" s="3"/>
      <c r="J808" s="3"/>
      <c r="K808" s="3"/>
    </row>
    <row r="809" ht="15.75" customHeight="1">
      <c r="A809" s="3"/>
      <c r="B809" s="3"/>
      <c r="C809" s="3"/>
      <c r="D809" s="3"/>
      <c r="E809" s="3"/>
      <c r="F809" s="3"/>
      <c r="G809" s="3"/>
      <c r="H809" s="3"/>
      <c r="I809" s="3"/>
      <c r="J809" s="3"/>
      <c r="K809" s="3"/>
    </row>
    <row r="810" ht="15.75" customHeight="1">
      <c r="A810" s="3"/>
      <c r="B810" s="3"/>
      <c r="C810" s="3"/>
      <c r="D810" s="3"/>
      <c r="E810" s="3"/>
      <c r="F810" s="3"/>
      <c r="G810" s="3"/>
      <c r="H810" s="3"/>
      <c r="I810" s="3"/>
      <c r="J810" s="3"/>
      <c r="K810" s="3"/>
    </row>
    <row r="811" ht="15.75" customHeight="1">
      <c r="A811" s="3"/>
      <c r="B811" s="3"/>
      <c r="C811" s="3"/>
      <c r="D811" s="3"/>
      <c r="E811" s="3"/>
      <c r="F811" s="3"/>
      <c r="G811" s="3"/>
      <c r="H811" s="3"/>
      <c r="I811" s="3"/>
      <c r="J811" s="3"/>
      <c r="K811" s="3"/>
    </row>
    <row r="812" ht="15.75" customHeight="1">
      <c r="A812" s="3"/>
      <c r="B812" s="3"/>
      <c r="C812" s="3"/>
      <c r="D812" s="3"/>
      <c r="E812" s="3"/>
      <c r="F812" s="3"/>
      <c r="G812" s="3"/>
      <c r="H812" s="3"/>
      <c r="I812" s="3"/>
      <c r="J812" s="3"/>
      <c r="K812" s="3"/>
    </row>
    <row r="813" ht="15.75" customHeight="1">
      <c r="A813" s="3"/>
      <c r="B813" s="3"/>
      <c r="C813" s="3"/>
      <c r="D813" s="3"/>
      <c r="E813" s="3"/>
      <c r="F813" s="3"/>
      <c r="G813" s="3"/>
      <c r="H813" s="3"/>
      <c r="I813" s="3"/>
      <c r="J813" s="3"/>
      <c r="K813" s="3"/>
    </row>
    <row r="814" ht="15.75" customHeight="1">
      <c r="A814" s="3"/>
      <c r="B814" s="3"/>
      <c r="C814" s="3"/>
      <c r="D814" s="3"/>
      <c r="E814" s="3"/>
      <c r="F814" s="3"/>
      <c r="G814" s="3"/>
      <c r="H814" s="3"/>
      <c r="I814" s="3"/>
      <c r="J814" s="3"/>
      <c r="K814" s="3"/>
    </row>
    <row r="815" ht="15.75" customHeight="1">
      <c r="A815" s="3"/>
      <c r="B815" s="3"/>
      <c r="C815" s="3"/>
      <c r="D815" s="3"/>
      <c r="E815" s="3"/>
      <c r="F815" s="3"/>
      <c r="G815" s="3"/>
      <c r="H815" s="3"/>
      <c r="I815" s="3"/>
      <c r="J815" s="3"/>
      <c r="K815" s="3"/>
    </row>
    <row r="816" ht="15.75" customHeight="1">
      <c r="A816" s="3"/>
      <c r="B816" s="3"/>
      <c r="C816" s="3"/>
      <c r="D816" s="3"/>
      <c r="E816" s="3"/>
      <c r="F816" s="3"/>
      <c r="G816" s="3"/>
      <c r="H816" s="3"/>
      <c r="I816" s="3"/>
      <c r="J816" s="3"/>
      <c r="K816" s="3"/>
    </row>
    <row r="817" ht="15.75" customHeight="1">
      <c r="A817" s="3"/>
      <c r="B817" s="3"/>
      <c r="C817" s="3"/>
      <c r="D817" s="3"/>
      <c r="E817" s="3"/>
      <c r="F817" s="3"/>
      <c r="G817" s="3"/>
      <c r="H817" s="3"/>
      <c r="I817" s="3"/>
      <c r="J817" s="3"/>
      <c r="K817" s="3"/>
    </row>
    <row r="818" ht="15.75" customHeight="1">
      <c r="A818" s="3"/>
      <c r="B818" s="3"/>
      <c r="C818" s="3"/>
      <c r="D818" s="3"/>
      <c r="E818" s="3"/>
      <c r="F818" s="3"/>
      <c r="G818" s="3"/>
      <c r="H818" s="3"/>
      <c r="I818" s="3"/>
      <c r="J818" s="3"/>
      <c r="K818" s="3"/>
    </row>
    <row r="819" ht="15.75" customHeight="1">
      <c r="A819" s="3"/>
      <c r="B819" s="3"/>
      <c r="C819" s="3"/>
      <c r="D819" s="3"/>
      <c r="E819" s="3"/>
      <c r="F819" s="3"/>
      <c r="G819" s="3"/>
      <c r="H819" s="3"/>
      <c r="I819" s="3"/>
      <c r="J819" s="3"/>
      <c r="K819" s="3"/>
    </row>
    <row r="820" ht="15.75" customHeight="1">
      <c r="A820" s="3"/>
      <c r="B820" s="3"/>
      <c r="C820" s="3"/>
      <c r="D820" s="3"/>
      <c r="E820" s="3"/>
      <c r="F820" s="3"/>
      <c r="G820" s="3"/>
      <c r="H820" s="3"/>
      <c r="I820" s="3"/>
      <c r="J820" s="3"/>
      <c r="K820" s="3"/>
    </row>
    <row r="821" ht="15.75" customHeight="1">
      <c r="A821" s="3"/>
      <c r="B821" s="3"/>
      <c r="C821" s="3"/>
      <c r="D821" s="3"/>
      <c r="E821" s="3"/>
      <c r="F821" s="3"/>
      <c r="G821" s="3"/>
      <c r="H821" s="3"/>
      <c r="I821" s="3"/>
      <c r="J821" s="3"/>
      <c r="K821" s="3"/>
    </row>
    <row r="822" ht="15.75" customHeight="1">
      <c r="A822" s="3"/>
      <c r="B822" s="3"/>
      <c r="C822" s="3"/>
      <c r="D822" s="3"/>
      <c r="E822" s="3"/>
      <c r="F822" s="3"/>
      <c r="G822" s="3"/>
      <c r="H822" s="3"/>
      <c r="I822" s="3"/>
      <c r="J822" s="3"/>
      <c r="K822" s="3"/>
    </row>
    <row r="823" ht="15.75" customHeight="1">
      <c r="A823" s="3"/>
      <c r="B823" s="3"/>
      <c r="C823" s="3"/>
      <c r="D823" s="3"/>
      <c r="E823" s="3"/>
      <c r="F823" s="3"/>
      <c r="G823" s="3"/>
      <c r="H823" s="3"/>
      <c r="I823" s="3"/>
      <c r="J823" s="3"/>
      <c r="K823" s="3"/>
    </row>
    <row r="824" ht="15.75" customHeight="1">
      <c r="A824" s="3"/>
      <c r="B824" s="3"/>
      <c r="C824" s="3"/>
      <c r="D824" s="3"/>
      <c r="E824" s="3"/>
      <c r="F824" s="3"/>
      <c r="G824" s="3"/>
      <c r="H824" s="3"/>
      <c r="I824" s="3"/>
      <c r="J824" s="3"/>
      <c r="K824" s="3"/>
    </row>
    <row r="825" ht="15.75" customHeight="1">
      <c r="A825" s="3"/>
      <c r="B825" s="3"/>
      <c r="C825" s="3"/>
      <c r="D825" s="3"/>
      <c r="E825" s="3"/>
      <c r="F825" s="3"/>
      <c r="G825" s="3"/>
      <c r="H825" s="3"/>
      <c r="I825" s="3"/>
      <c r="J825" s="3"/>
      <c r="K825" s="3"/>
    </row>
    <row r="826" ht="15.75" customHeight="1">
      <c r="A826" s="3"/>
      <c r="B826" s="3"/>
      <c r="C826" s="3"/>
      <c r="D826" s="3"/>
      <c r="E826" s="3"/>
      <c r="F826" s="3"/>
      <c r="G826" s="3"/>
      <c r="H826" s="3"/>
      <c r="I826" s="3"/>
      <c r="J826" s="3"/>
      <c r="K826" s="3"/>
    </row>
    <row r="827" ht="15.75" customHeight="1">
      <c r="A827" s="3"/>
      <c r="B827" s="3"/>
      <c r="C827" s="3"/>
      <c r="D827" s="3"/>
      <c r="E827" s="3"/>
      <c r="F827" s="3"/>
      <c r="G827" s="3"/>
      <c r="H827" s="3"/>
      <c r="I827" s="3"/>
      <c r="J827" s="3"/>
      <c r="K827" s="3"/>
    </row>
    <row r="828" ht="15.75" customHeight="1">
      <c r="A828" s="3"/>
      <c r="B828" s="3"/>
      <c r="C828" s="3"/>
      <c r="D828" s="3"/>
      <c r="E828" s="3"/>
      <c r="F828" s="3"/>
      <c r="G828" s="3"/>
      <c r="H828" s="3"/>
      <c r="I828" s="3"/>
      <c r="J828" s="3"/>
      <c r="K828" s="3"/>
    </row>
    <row r="829" ht="15.75" customHeight="1">
      <c r="A829" s="3"/>
      <c r="B829" s="3"/>
      <c r="C829" s="3"/>
      <c r="D829" s="3"/>
      <c r="E829" s="3"/>
      <c r="F829" s="3"/>
      <c r="G829" s="3"/>
      <c r="H829" s="3"/>
      <c r="I829" s="3"/>
      <c r="J829" s="3"/>
      <c r="K829" s="3"/>
    </row>
    <row r="830" ht="15.75" customHeight="1">
      <c r="A830" s="3"/>
      <c r="B830" s="3"/>
      <c r="C830" s="3"/>
      <c r="D830" s="3"/>
      <c r="E830" s="3"/>
      <c r="F830" s="3"/>
      <c r="G830" s="3"/>
      <c r="H830" s="3"/>
      <c r="I830" s="3"/>
      <c r="J830" s="3"/>
      <c r="K830" s="3"/>
    </row>
    <row r="831" ht="15.75" customHeight="1">
      <c r="A831" s="3"/>
      <c r="B831" s="3"/>
      <c r="C831" s="3"/>
      <c r="D831" s="3"/>
      <c r="E831" s="3"/>
      <c r="F831" s="3"/>
      <c r="G831" s="3"/>
      <c r="H831" s="3"/>
      <c r="I831" s="3"/>
      <c r="J831" s="3"/>
      <c r="K831" s="3"/>
    </row>
    <row r="832" ht="15.75" customHeight="1">
      <c r="A832" s="3"/>
      <c r="B832" s="3"/>
      <c r="C832" s="3"/>
      <c r="D832" s="3"/>
      <c r="E832" s="3"/>
      <c r="F832" s="3"/>
      <c r="G832" s="3"/>
      <c r="H832" s="3"/>
      <c r="I832" s="3"/>
      <c r="J832" s="3"/>
      <c r="K832" s="3"/>
    </row>
    <row r="833" ht="15.75" customHeight="1">
      <c r="A833" s="3"/>
      <c r="B833" s="3"/>
      <c r="C833" s="3"/>
      <c r="D833" s="3"/>
      <c r="E833" s="3"/>
      <c r="F833" s="3"/>
      <c r="G833" s="3"/>
      <c r="H833" s="3"/>
      <c r="I833" s="3"/>
      <c r="J833" s="3"/>
      <c r="K833" s="3"/>
    </row>
    <row r="834" ht="15.75" customHeight="1">
      <c r="A834" s="3"/>
      <c r="B834" s="3"/>
      <c r="C834" s="3"/>
      <c r="D834" s="3"/>
      <c r="E834" s="3"/>
      <c r="F834" s="3"/>
      <c r="G834" s="3"/>
      <c r="H834" s="3"/>
      <c r="I834" s="3"/>
      <c r="J834" s="3"/>
      <c r="K834" s="3"/>
    </row>
    <row r="835" ht="15.75" customHeight="1">
      <c r="A835" s="3"/>
      <c r="B835" s="3"/>
      <c r="C835" s="3"/>
      <c r="D835" s="3"/>
      <c r="E835" s="3"/>
      <c r="F835" s="3"/>
      <c r="G835" s="3"/>
      <c r="H835" s="3"/>
      <c r="I835" s="3"/>
      <c r="J835" s="3"/>
      <c r="K835" s="3"/>
    </row>
    <row r="836" ht="15.75" customHeight="1">
      <c r="A836" s="3"/>
      <c r="B836" s="3"/>
      <c r="C836" s="3"/>
      <c r="D836" s="3"/>
      <c r="E836" s="3"/>
      <c r="F836" s="3"/>
      <c r="G836" s="3"/>
      <c r="H836" s="3"/>
      <c r="I836" s="3"/>
      <c r="J836" s="3"/>
      <c r="K836" s="3"/>
    </row>
    <row r="837" ht="15.75" customHeight="1">
      <c r="A837" s="3"/>
      <c r="B837" s="3"/>
      <c r="C837" s="3"/>
      <c r="D837" s="3"/>
      <c r="E837" s="3"/>
      <c r="F837" s="3"/>
      <c r="G837" s="3"/>
      <c r="H837" s="3"/>
      <c r="I837" s="3"/>
      <c r="J837" s="3"/>
      <c r="K837" s="3"/>
    </row>
    <row r="838" ht="15.75" customHeight="1">
      <c r="A838" s="3"/>
      <c r="B838" s="3"/>
      <c r="C838" s="3"/>
      <c r="D838" s="3"/>
      <c r="E838" s="3"/>
      <c r="F838" s="3"/>
      <c r="G838" s="3"/>
      <c r="H838" s="3"/>
      <c r="I838" s="3"/>
      <c r="J838" s="3"/>
      <c r="K838" s="3"/>
    </row>
    <row r="839" ht="15.75" customHeight="1">
      <c r="A839" s="3"/>
      <c r="B839" s="3"/>
      <c r="C839" s="3"/>
      <c r="D839" s="3"/>
      <c r="E839" s="3"/>
      <c r="F839" s="3"/>
      <c r="G839" s="3"/>
      <c r="H839" s="3"/>
      <c r="I839" s="3"/>
      <c r="J839" s="3"/>
      <c r="K839" s="3"/>
    </row>
    <row r="840" ht="15.75" customHeight="1">
      <c r="A840" s="3"/>
      <c r="B840" s="3"/>
      <c r="C840" s="3"/>
      <c r="D840" s="3"/>
      <c r="E840" s="3"/>
      <c r="F840" s="3"/>
      <c r="G840" s="3"/>
      <c r="H840" s="3"/>
      <c r="I840" s="3"/>
      <c r="J840" s="3"/>
      <c r="K840" s="3"/>
    </row>
    <row r="841" ht="15.75" customHeight="1">
      <c r="A841" s="3"/>
      <c r="B841" s="3"/>
      <c r="C841" s="3"/>
      <c r="D841" s="3"/>
      <c r="E841" s="3"/>
      <c r="F841" s="3"/>
      <c r="G841" s="3"/>
      <c r="H841" s="3"/>
      <c r="I841" s="3"/>
      <c r="J841" s="3"/>
      <c r="K841" s="3"/>
    </row>
    <row r="842" ht="15.75" customHeight="1">
      <c r="A842" s="3"/>
      <c r="B842" s="3"/>
      <c r="C842" s="3"/>
      <c r="D842" s="3"/>
      <c r="E842" s="3"/>
      <c r="F842" s="3"/>
      <c r="G842" s="3"/>
      <c r="H842" s="3"/>
      <c r="I842" s="3"/>
      <c r="J842" s="3"/>
      <c r="K842" s="3"/>
    </row>
    <row r="843" ht="15.75" customHeight="1">
      <c r="A843" s="3"/>
      <c r="B843" s="3"/>
      <c r="C843" s="3"/>
      <c r="D843" s="3"/>
      <c r="E843" s="3"/>
      <c r="F843" s="3"/>
      <c r="G843" s="3"/>
      <c r="H843" s="3"/>
      <c r="I843" s="3"/>
      <c r="J843" s="3"/>
      <c r="K843" s="3"/>
    </row>
    <row r="844" ht="15.75" customHeight="1">
      <c r="A844" s="3"/>
      <c r="B844" s="3"/>
      <c r="C844" s="3"/>
      <c r="D844" s="3"/>
      <c r="E844" s="3"/>
      <c r="F844" s="3"/>
      <c r="G844" s="3"/>
      <c r="H844" s="3"/>
      <c r="I844" s="3"/>
      <c r="J844" s="3"/>
      <c r="K844" s="3"/>
    </row>
    <row r="845" ht="15.75" customHeight="1">
      <c r="A845" s="3"/>
      <c r="B845" s="3"/>
      <c r="C845" s="3"/>
      <c r="D845" s="3"/>
      <c r="E845" s="3"/>
      <c r="F845" s="3"/>
      <c r="G845" s="3"/>
      <c r="H845" s="3"/>
      <c r="I845" s="3"/>
      <c r="J845" s="3"/>
      <c r="K845" s="3"/>
    </row>
    <row r="846" ht="15.75" customHeight="1">
      <c r="A846" s="3"/>
      <c r="B846" s="3"/>
      <c r="C846" s="3"/>
      <c r="D846" s="3"/>
      <c r="E846" s="3"/>
      <c r="F846" s="3"/>
      <c r="G846" s="3"/>
      <c r="H846" s="3"/>
      <c r="I846" s="3"/>
      <c r="J846" s="3"/>
      <c r="K846" s="3"/>
    </row>
    <row r="847" ht="15.75" customHeight="1">
      <c r="A847" s="3"/>
      <c r="B847" s="3"/>
      <c r="C847" s="3"/>
      <c r="D847" s="3"/>
      <c r="E847" s="3"/>
      <c r="F847" s="3"/>
      <c r="G847" s="3"/>
      <c r="H847" s="3"/>
      <c r="I847" s="3"/>
      <c r="J847" s="3"/>
      <c r="K847" s="3"/>
    </row>
    <row r="848" ht="15.75" customHeight="1">
      <c r="A848" s="3"/>
      <c r="B848" s="3"/>
      <c r="C848" s="3"/>
      <c r="D848" s="3"/>
      <c r="E848" s="3"/>
      <c r="F848" s="3"/>
      <c r="G848" s="3"/>
      <c r="H848" s="3"/>
      <c r="I848" s="3"/>
      <c r="J848" s="3"/>
      <c r="K848" s="3"/>
    </row>
    <row r="849" ht="15.75" customHeight="1">
      <c r="A849" s="3"/>
      <c r="B849" s="3"/>
      <c r="C849" s="3"/>
      <c r="D849" s="3"/>
      <c r="E849" s="3"/>
      <c r="F849" s="3"/>
      <c r="G849" s="3"/>
      <c r="H849" s="3"/>
      <c r="I849" s="3"/>
      <c r="J849" s="3"/>
      <c r="K849" s="3"/>
    </row>
    <row r="850" ht="15.75" customHeight="1">
      <c r="A850" s="3"/>
      <c r="B850" s="3"/>
      <c r="C850" s="3"/>
      <c r="D850" s="3"/>
      <c r="E850" s="3"/>
      <c r="F850" s="3"/>
      <c r="G850" s="3"/>
      <c r="H850" s="3"/>
      <c r="I850" s="3"/>
      <c r="J850" s="3"/>
      <c r="K850" s="3"/>
    </row>
    <row r="851" ht="15.75" customHeight="1">
      <c r="A851" s="3"/>
      <c r="B851" s="3"/>
      <c r="C851" s="3"/>
      <c r="D851" s="3"/>
      <c r="E851" s="3"/>
      <c r="F851" s="3"/>
      <c r="G851" s="3"/>
      <c r="H851" s="3"/>
      <c r="I851" s="3"/>
      <c r="J851" s="3"/>
      <c r="K851" s="3"/>
    </row>
    <row r="852" ht="15.75" customHeight="1">
      <c r="A852" s="3"/>
      <c r="B852" s="3"/>
      <c r="C852" s="3"/>
      <c r="D852" s="3"/>
      <c r="E852" s="3"/>
      <c r="F852" s="3"/>
      <c r="G852" s="3"/>
      <c r="H852" s="3"/>
      <c r="I852" s="3"/>
      <c r="J852" s="3"/>
      <c r="K852" s="3"/>
    </row>
    <row r="853" ht="15.75" customHeight="1">
      <c r="A853" s="3"/>
      <c r="B853" s="3"/>
      <c r="C853" s="3"/>
      <c r="D853" s="3"/>
      <c r="E853" s="3"/>
      <c r="F853" s="3"/>
      <c r="G853" s="3"/>
      <c r="H853" s="3"/>
      <c r="I853" s="3"/>
      <c r="J853" s="3"/>
      <c r="K853" s="3"/>
    </row>
    <row r="854" ht="15.75" customHeight="1">
      <c r="A854" s="3"/>
      <c r="B854" s="3"/>
      <c r="C854" s="3"/>
      <c r="D854" s="3"/>
      <c r="E854" s="3"/>
      <c r="F854" s="3"/>
      <c r="G854" s="3"/>
      <c r="H854" s="3"/>
      <c r="I854" s="3"/>
      <c r="J854" s="3"/>
      <c r="K854" s="3"/>
    </row>
    <row r="855" ht="15.75" customHeight="1">
      <c r="A855" s="3"/>
      <c r="B855" s="3"/>
      <c r="C855" s="3"/>
      <c r="D855" s="3"/>
      <c r="E855" s="3"/>
      <c r="F855" s="3"/>
      <c r="G855" s="3"/>
      <c r="H855" s="3"/>
      <c r="I855" s="3"/>
      <c r="J855" s="3"/>
      <c r="K855" s="3"/>
    </row>
    <row r="856" ht="15.75" customHeight="1">
      <c r="A856" s="3"/>
      <c r="B856" s="3"/>
      <c r="C856" s="3"/>
      <c r="D856" s="3"/>
      <c r="E856" s="3"/>
      <c r="F856" s="3"/>
      <c r="G856" s="3"/>
      <c r="H856" s="3"/>
      <c r="I856" s="3"/>
      <c r="J856" s="3"/>
      <c r="K856" s="3"/>
    </row>
    <row r="857" ht="15.75" customHeight="1">
      <c r="A857" s="3"/>
      <c r="B857" s="3"/>
      <c r="C857" s="3"/>
      <c r="D857" s="3"/>
      <c r="E857" s="3"/>
      <c r="F857" s="3"/>
      <c r="G857" s="3"/>
      <c r="H857" s="3"/>
      <c r="I857" s="3"/>
      <c r="J857" s="3"/>
      <c r="K857" s="3"/>
    </row>
    <row r="858" ht="15.75" customHeight="1">
      <c r="A858" s="3"/>
      <c r="B858" s="3"/>
      <c r="C858" s="3"/>
      <c r="D858" s="3"/>
      <c r="E858" s="3"/>
      <c r="F858" s="3"/>
      <c r="G858" s="3"/>
      <c r="H858" s="3"/>
      <c r="I858" s="3"/>
      <c r="J858" s="3"/>
      <c r="K858" s="3"/>
    </row>
    <row r="859" ht="15.75" customHeight="1">
      <c r="A859" s="3"/>
      <c r="B859" s="3"/>
      <c r="C859" s="3"/>
      <c r="D859" s="3"/>
      <c r="E859" s="3"/>
      <c r="F859" s="3"/>
      <c r="G859" s="3"/>
      <c r="H859" s="3"/>
      <c r="I859" s="3"/>
      <c r="J859" s="3"/>
      <c r="K859" s="3"/>
    </row>
    <row r="860" ht="15.75" customHeight="1">
      <c r="A860" s="3"/>
      <c r="B860" s="3"/>
      <c r="C860" s="3"/>
      <c r="D860" s="3"/>
      <c r="E860" s="3"/>
      <c r="F860" s="3"/>
      <c r="G860" s="3"/>
      <c r="H860" s="3"/>
      <c r="I860" s="3"/>
      <c r="J860" s="3"/>
      <c r="K860" s="3"/>
    </row>
    <row r="861" ht="15.75" customHeight="1">
      <c r="A861" s="3"/>
      <c r="B861" s="3"/>
      <c r="C861" s="3"/>
      <c r="D861" s="3"/>
      <c r="E861" s="3"/>
      <c r="F861" s="3"/>
      <c r="G861" s="3"/>
      <c r="H861" s="3"/>
      <c r="I861" s="3"/>
      <c r="J861" s="3"/>
      <c r="K861" s="3"/>
    </row>
    <row r="862" ht="15.75" customHeight="1">
      <c r="A862" s="3"/>
      <c r="B862" s="3"/>
      <c r="C862" s="3"/>
      <c r="D862" s="3"/>
      <c r="E862" s="3"/>
      <c r="F862" s="3"/>
      <c r="G862" s="3"/>
      <c r="H862" s="3"/>
      <c r="I862" s="3"/>
      <c r="J862" s="3"/>
      <c r="K862" s="3"/>
    </row>
    <row r="863" ht="15.75" customHeight="1">
      <c r="A863" s="3"/>
      <c r="B863" s="3"/>
      <c r="C863" s="3"/>
      <c r="D863" s="3"/>
      <c r="E863" s="3"/>
      <c r="F863" s="3"/>
      <c r="G863" s="3"/>
      <c r="H863" s="3"/>
      <c r="I863" s="3"/>
      <c r="J863" s="3"/>
      <c r="K863" s="3"/>
    </row>
    <row r="864" ht="15.75" customHeight="1">
      <c r="A864" s="3"/>
      <c r="B864" s="3"/>
      <c r="C864" s="3"/>
      <c r="D864" s="3"/>
      <c r="E864" s="3"/>
      <c r="F864" s="3"/>
      <c r="G864" s="3"/>
      <c r="H864" s="3"/>
      <c r="I864" s="3"/>
      <c r="J864" s="3"/>
      <c r="K864" s="3"/>
    </row>
    <row r="865" ht="15.75" customHeight="1">
      <c r="A865" s="3"/>
      <c r="B865" s="3"/>
      <c r="C865" s="3"/>
      <c r="D865" s="3"/>
      <c r="E865" s="3"/>
      <c r="F865" s="3"/>
      <c r="G865" s="3"/>
      <c r="H865" s="3"/>
      <c r="I865" s="3"/>
      <c r="J865" s="3"/>
      <c r="K865" s="3"/>
    </row>
    <row r="866" ht="15.75" customHeight="1">
      <c r="A866" s="3"/>
      <c r="B866" s="3"/>
      <c r="C866" s="3"/>
      <c r="D866" s="3"/>
      <c r="E866" s="3"/>
      <c r="F866" s="3"/>
      <c r="G866" s="3"/>
      <c r="H866" s="3"/>
      <c r="I866" s="3"/>
      <c r="J866" s="3"/>
      <c r="K866" s="3"/>
    </row>
    <row r="867" ht="15.75" customHeight="1">
      <c r="A867" s="3"/>
      <c r="B867" s="3"/>
      <c r="C867" s="3"/>
      <c r="D867" s="3"/>
      <c r="E867" s="3"/>
      <c r="F867" s="3"/>
      <c r="G867" s="3"/>
      <c r="H867" s="3"/>
      <c r="I867" s="3"/>
      <c r="J867" s="3"/>
      <c r="K867" s="3"/>
    </row>
    <row r="868" ht="15.75" customHeight="1">
      <c r="A868" s="3"/>
      <c r="B868" s="3"/>
      <c r="C868" s="3"/>
      <c r="D868" s="3"/>
      <c r="E868" s="3"/>
      <c r="F868" s="3"/>
      <c r="G868" s="3"/>
      <c r="H868" s="3"/>
      <c r="I868" s="3"/>
      <c r="J868" s="3"/>
      <c r="K868" s="3"/>
    </row>
    <row r="869" ht="15.75" customHeight="1">
      <c r="A869" s="3"/>
      <c r="B869" s="3"/>
      <c r="C869" s="3"/>
      <c r="D869" s="3"/>
      <c r="E869" s="3"/>
      <c r="F869" s="3"/>
      <c r="G869" s="3"/>
      <c r="H869" s="3"/>
      <c r="I869" s="3"/>
      <c r="J869" s="3"/>
      <c r="K869" s="3"/>
    </row>
    <row r="870" ht="15.75" customHeight="1">
      <c r="A870" s="3"/>
      <c r="B870" s="3"/>
      <c r="C870" s="3"/>
      <c r="D870" s="3"/>
      <c r="E870" s="3"/>
      <c r="F870" s="3"/>
      <c r="G870" s="3"/>
      <c r="H870" s="3"/>
      <c r="I870" s="3"/>
      <c r="J870" s="3"/>
      <c r="K870" s="3"/>
    </row>
    <row r="871" ht="15.75" customHeight="1">
      <c r="A871" s="3"/>
      <c r="B871" s="3"/>
      <c r="C871" s="3"/>
      <c r="D871" s="3"/>
      <c r="E871" s="3"/>
      <c r="F871" s="3"/>
      <c r="G871" s="3"/>
      <c r="H871" s="3"/>
      <c r="I871" s="3"/>
      <c r="J871" s="3"/>
      <c r="K871" s="3"/>
    </row>
    <row r="872" ht="15.75" customHeight="1">
      <c r="A872" s="3"/>
      <c r="B872" s="3"/>
      <c r="C872" s="3"/>
      <c r="D872" s="3"/>
      <c r="E872" s="3"/>
      <c r="F872" s="3"/>
      <c r="G872" s="3"/>
      <c r="H872" s="3"/>
      <c r="I872" s="3"/>
      <c r="J872" s="3"/>
      <c r="K872" s="3"/>
    </row>
    <row r="873" ht="15.75" customHeight="1">
      <c r="A873" s="3"/>
      <c r="B873" s="3"/>
      <c r="C873" s="3"/>
      <c r="D873" s="3"/>
      <c r="E873" s="3"/>
      <c r="F873" s="3"/>
      <c r="G873" s="3"/>
      <c r="H873" s="3"/>
      <c r="I873" s="3"/>
      <c r="J873" s="3"/>
      <c r="K873" s="3"/>
    </row>
    <row r="874" ht="15.75" customHeight="1">
      <c r="A874" s="3"/>
      <c r="B874" s="3"/>
      <c r="C874" s="3"/>
      <c r="D874" s="3"/>
      <c r="E874" s="3"/>
      <c r="F874" s="3"/>
      <c r="G874" s="3"/>
      <c r="H874" s="3"/>
      <c r="I874" s="3"/>
      <c r="J874" s="3"/>
      <c r="K874" s="3"/>
    </row>
    <row r="875" ht="15.75" customHeight="1">
      <c r="A875" s="3"/>
      <c r="B875" s="3"/>
      <c r="C875" s="3"/>
      <c r="D875" s="3"/>
      <c r="E875" s="3"/>
      <c r="F875" s="3"/>
      <c r="G875" s="3"/>
      <c r="H875" s="3"/>
      <c r="I875" s="3"/>
      <c r="J875" s="3"/>
      <c r="K875" s="3"/>
    </row>
    <row r="876" ht="15.75" customHeight="1">
      <c r="A876" s="3"/>
      <c r="B876" s="3"/>
      <c r="C876" s="3"/>
      <c r="D876" s="3"/>
      <c r="E876" s="3"/>
      <c r="F876" s="3"/>
      <c r="G876" s="3"/>
      <c r="H876" s="3"/>
      <c r="I876" s="3"/>
      <c r="J876" s="3"/>
      <c r="K876" s="3"/>
    </row>
    <row r="877" ht="15.75" customHeight="1">
      <c r="A877" s="3"/>
      <c r="B877" s="3"/>
      <c r="C877" s="3"/>
      <c r="D877" s="3"/>
      <c r="E877" s="3"/>
      <c r="F877" s="3"/>
      <c r="G877" s="3"/>
      <c r="H877" s="3"/>
      <c r="I877" s="3"/>
      <c r="J877" s="3"/>
      <c r="K877" s="3"/>
    </row>
    <row r="878" ht="15.75" customHeight="1">
      <c r="A878" s="3"/>
      <c r="B878" s="3"/>
      <c r="C878" s="3"/>
      <c r="D878" s="3"/>
      <c r="E878" s="3"/>
      <c r="F878" s="3"/>
      <c r="G878" s="3"/>
      <c r="H878" s="3"/>
      <c r="I878" s="3"/>
      <c r="J878" s="3"/>
      <c r="K878" s="3"/>
    </row>
    <row r="879" ht="15.75" customHeight="1">
      <c r="A879" s="3"/>
      <c r="B879" s="3"/>
      <c r="C879" s="3"/>
      <c r="D879" s="3"/>
      <c r="E879" s="3"/>
      <c r="F879" s="3"/>
      <c r="G879" s="3"/>
      <c r="H879" s="3"/>
      <c r="I879" s="3"/>
      <c r="J879" s="3"/>
      <c r="K879" s="3"/>
    </row>
    <row r="880" ht="15.75" customHeight="1">
      <c r="A880" s="3"/>
      <c r="B880" s="3"/>
      <c r="C880" s="3"/>
      <c r="D880" s="3"/>
      <c r="E880" s="3"/>
      <c r="F880" s="3"/>
      <c r="G880" s="3"/>
      <c r="H880" s="3"/>
      <c r="I880" s="3"/>
      <c r="J880" s="3"/>
      <c r="K880" s="3"/>
    </row>
    <row r="881" ht="15.75" customHeight="1">
      <c r="A881" s="3"/>
      <c r="B881" s="3"/>
      <c r="C881" s="3"/>
      <c r="D881" s="3"/>
      <c r="E881" s="3"/>
      <c r="F881" s="3"/>
      <c r="G881" s="3"/>
      <c r="H881" s="3"/>
      <c r="I881" s="3"/>
      <c r="J881" s="3"/>
      <c r="K881" s="3"/>
    </row>
    <row r="882" ht="15.75" customHeight="1">
      <c r="A882" s="3"/>
      <c r="B882" s="3"/>
      <c r="C882" s="3"/>
      <c r="D882" s="3"/>
      <c r="E882" s="3"/>
      <c r="F882" s="3"/>
      <c r="G882" s="3"/>
      <c r="H882" s="3"/>
      <c r="I882" s="3"/>
      <c r="J882" s="3"/>
      <c r="K882" s="3"/>
    </row>
    <row r="883" ht="15.75" customHeight="1">
      <c r="A883" s="3"/>
      <c r="B883" s="3"/>
      <c r="C883" s="3"/>
      <c r="D883" s="3"/>
      <c r="E883" s="3"/>
      <c r="F883" s="3"/>
      <c r="G883" s="3"/>
      <c r="H883" s="3"/>
      <c r="I883" s="3"/>
      <c r="J883" s="3"/>
      <c r="K883" s="3"/>
    </row>
    <row r="884" ht="15.75" customHeight="1">
      <c r="A884" s="3"/>
      <c r="B884" s="3"/>
      <c r="C884" s="3"/>
      <c r="D884" s="3"/>
      <c r="E884" s="3"/>
      <c r="F884" s="3"/>
      <c r="G884" s="3"/>
      <c r="H884" s="3"/>
      <c r="I884" s="3"/>
      <c r="J884" s="3"/>
      <c r="K884" s="3"/>
    </row>
    <row r="885" ht="15.75" customHeight="1">
      <c r="A885" s="3"/>
      <c r="B885" s="3"/>
      <c r="C885" s="3"/>
      <c r="D885" s="3"/>
      <c r="E885" s="3"/>
      <c r="F885" s="3"/>
      <c r="G885" s="3"/>
      <c r="H885" s="3"/>
      <c r="I885" s="3"/>
      <c r="J885" s="3"/>
      <c r="K885" s="3"/>
    </row>
    <row r="886" ht="15.75" customHeight="1">
      <c r="A886" s="3"/>
      <c r="B886" s="3"/>
      <c r="C886" s="3"/>
      <c r="D886" s="3"/>
      <c r="E886" s="3"/>
      <c r="F886" s="3"/>
      <c r="G886" s="3"/>
      <c r="H886" s="3"/>
      <c r="I886" s="3"/>
      <c r="J886" s="3"/>
      <c r="K886" s="3"/>
    </row>
    <row r="887" ht="15.75" customHeight="1">
      <c r="A887" s="3"/>
      <c r="B887" s="3"/>
      <c r="C887" s="3"/>
      <c r="D887" s="3"/>
      <c r="E887" s="3"/>
      <c r="F887" s="3"/>
      <c r="G887" s="3"/>
      <c r="H887" s="3"/>
      <c r="I887" s="3"/>
      <c r="J887" s="3"/>
      <c r="K887" s="3"/>
    </row>
    <row r="888" ht="15.75" customHeight="1">
      <c r="A888" s="3"/>
      <c r="B888" s="3"/>
      <c r="C888" s="3"/>
      <c r="D888" s="3"/>
      <c r="E888" s="3"/>
      <c r="F888" s="3"/>
      <c r="G888" s="3"/>
      <c r="H888" s="3"/>
      <c r="I888" s="3"/>
      <c r="J888" s="3"/>
      <c r="K888" s="3"/>
    </row>
    <row r="889" ht="15.75" customHeight="1">
      <c r="A889" s="3"/>
      <c r="B889" s="3"/>
      <c r="C889" s="3"/>
      <c r="D889" s="3"/>
      <c r="E889" s="3"/>
      <c r="F889" s="3"/>
      <c r="G889" s="3"/>
      <c r="H889" s="3"/>
      <c r="I889" s="3"/>
      <c r="J889" s="3"/>
      <c r="K889" s="3"/>
    </row>
    <row r="890" ht="15.75" customHeight="1">
      <c r="A890" s="3"/>
      <c r="B890" s="3"/>
      <c r="C890" s="3"/>
      <c r="D890" s="3"/>
      <c r="E890" s="3"/>
      <c r="F890" s="3"/>
      <c r="G890" s="3"/>
      <c r="H890" s="3"/>
      <c r="I890" s="3"/>
      <c r="J890" s="3"/>
      <c r="K890" s="3"/>
    </row>
    <row r="891" ht="15.75" customHeight="1">
      <c r="A891" s="3"/>
      <c r="B891" s="3"/>
      <c r="C891" s="3"/>
      <c r="D891" s="3"/>
      <c r="E891" s="3"/>
      <c r="F891" s="3"/>
      <c r="G891" s="3"/>
      <c r="H891" s="3"/>
      <c r="I891" s="3"/>
      <c r="J891" s="3"/>
      <c r="K891" s="3"/>
    </row>
    <row r="892" ht="15.75" customHeight="1">
      <c r="A892" s="3"/>
      <c r="B892" s="3"/>
      <c r="C892" s="3"/>
      <c r="D892" s="3"/>
      <c r="E892" s="3"/>
      <c r="F892" s="3"/>
      <c r="G892" s="3"/>
      <c r="H892" s="3"/>
      <c r="I892" s="3"/>
      <c r="J892" s="3"/>
      <c r="K892" s="3"/>
    </row>
    <row r="893" ht="15.75" customHeight="1">
      <c r="A893" s="3"/>
      <c r="B893" s="3"/>
      <c r="C893" s="3"/>
      <c r="D893" s="3"/>
      <c r="E893" s="3"/>
      <c r="F893" s="3"/>
      <c r="G893" s="3"/>
      <c r="H893" s="3"/>
      <c r="I893" s="3"/>
      <c r="J893" s="3"/>
      <c r="K893" s="3"/>
    </row>
    <row r="894" ht="15.75" customHeight="1">
      <c r="A894" s="3"/>
      <c r="B894" s="3"/>
      <c r="C894" s="3"/>
      <c r="D894" s="3"/>
      <c r="E894" s="3"/>
      <c r="F894" s="3"/>
      <c r="G894" s="3"/>
      <c r="H894" s="3"/>
      <c r="I894" s="3"/>
      <c r="J894" s="3"/>
      <c r="K894" s="3"/>
    </row>
    <row r="895" ht="15.75" customHeight="1">
      <c r="A895" s="3"/>
      <c r="B895" s="3"/>
      <c r="C895" s="3"/>
      <c r="D895" s="3"/>
      <c r="E895" s="3"/>
      <c r="F895" s="3"/>
      <c r="G895" s="3"/>
      <c r="H895" s="3"/>
      <c r="I895" s="3"/>
      <c r="J895" s="3"/>
      <c r="K895" s="3"/>
    </row>
    <row r="896" ht="15.75" customHeight="1">
      <c r="A896" s="3"/>
      <c r="B896" s="3"/>
      <c r="C896" s="3"/>
      <c r="D896" s="3"/>
      <c r="E896" s="3"/>
      <c r="F896" s="3"/>
      <c r="G896" s="3"/>
      <c r="H896" s="3"/>
      <c r="I896" s="3"/>
      <c r="J896" s="3"/>
      <c r="K896" s="3"/>
    </row>
    <row r="897" ht="15.75" customHeight="1">
      <c r="A897" s="3"/>
      <c r="B897" s="3"/>
      <c r="C897" s="3"/>
      <c r="D897" s="3"/>
      <c r="E897" s="3"/>
      <c r="F897" s="3"/>
      <c r="G897" s="3"/>
      <c r="H897" s="3"/>
      <c r="I897" s="3"/>
      <c r="J897" s="3"/>
      <c r="K897" s="3"/>
    </row>
    <row r="898" ht="15.75" customHeight="1">
      <c r="A898" s="3"/>
      <c r="B898" s="3"/>
      <c r="C898" s="3"/>
      <c r="D898" s="3"/>
      <c r="E898" s="3"/>
      <c r="F898" s="3"/>
      <c r="G898" s="3"/>
      <c r="H898" s="3"/>
      <c r="I898" s="3"/>
      <c r="J898" s="3"/>
      <c r="K898" s="3"/>
    </row>
    <row r="899" ht="15.75" customHeight="1">
      <c r="A899" s="3"/>
      <c r="B899" s="3"/>
      <c r="C899" s="3"/>
      <c r="D899" s="3"/>
      <c r="E899" s="3"/>
      <c r="F899" s="3"/>
      <c r="G899" s="3"/>
      <c r="H899" s="3"/>
      <c r="I899" s="3"/>
      <c r="J899" s="3"/>
      <c r="K899" s="3"/>
    </row>
    <row r="900" ht="15.75" customHeight="1">
      <c r="A900" s="3"/>
      <c r="B900" s="3"/>
      <c r="C900" s="3"/>
      <c r="D900" s="3"/>
      <c r="E900" s="3"/>
      <c r="F900" s="3"/>
      <c r="G900" s="3"/>
      <c r="H900" s="3"/>
      <c r="I900" s="3"/>
      <c r="J900" s="3"/>
      <c r="K900" s="3"/>
    </row>
    <row r="901" ht="15.75" customHeight="1">
      <c r="A901" s="3"/>
      <c r="B901" s="3"/>
      <c r="C901" s="3"/>
      <c r="D901" s="3"/>
      <c r="E901" s="3"/>
      <c r="F901" s="3"/>
      <c r="G901" s="3"/>
      <c r="H901" s="3"/>
      <c r="I901" s="3"/>
      <c r="J901" s="3"/>
      <c r="K901" s="3"/>
    </row>
    <row r="902" ht="15.75" customHeight="1">
      <c r="A902" s="3"/>
      <c r="B902" s="3"/>
      <c r="C902" s="3"/>
      <c r="D902" s="3"/>
      <c r="E902" s="3"/>
      <c r="F902" s="3"/>
      <c r="G902" s="3"/>
      <c r="H902" s="3"/>
      <c r="I902" s="3"/>
      <c r="J902" s="3"/>
      <c r="K902" s="3"/>
    </row>
    <row r="903" ht="15.75" customHeight="1">
      <c r="A903" s="3"/>
      <c r="B903" s="3"/>
      <c r="C903" s="3"/>
      <c r="D903" s="3"/>
      <c r="E903" s="3"/>
      <c r="F903" s="3"/>
      <c r="G903" s="3"/>
      <c r="H903" s="3"/>
      <c r="I903" s="3"/>
      <c r="J903" s="3"/>
      <c r="K903" s="3"/>
    </row>
    <row r="904" ht="15.75" customHeight="1">
      <c r="A904" s="3"/>
      <c r="B904" s="3"/>
      <c r="C904" s="3"/>
      <c r="D904" s="3"/>
      <c r="E904" s="3"/>
      <c r="F904" s="3"/>
      <c r="G904" s="3"/>
      <c r="H904" s="3"/>
      <c r="I904" s="3"/>
      <c r="J904" s="3"/>
      <c r="K904" s="3"/>
    </row>
    <row r="905" ht="15.75" customHeight="1">
      <c r="A905" s="3"/>
      <c r="B905" s="3"/>
      <c r="C905" s="3"/>
      <c r="D905" s="3"/>
      <c r="E905" s="3"/>
      <c r="F905" s="3"/>
      <c r="G905" s="3"/>
      <c r="H905" s="3"/>
      <c r="I905" s="3"/>
      <c r="J905" s="3"/>
      <c r="K905" s="3"/>
    </row>
    <row r="906" ht="15.75" customHeight="1">
      <c r="A906" s="3"/>
      <c r="B906" s="3"/>
      <c r="C906" s="3"/>
      <c r="D906" s="3"/>
      <c r="E906" s="3"/>
      <c r="F906" s="3"/>
      <c r="G906" s="3"/>
      <c r="H906" s="3"/>
      <c r="I906" s="3"/>
      <c r="J906" s="3"/>
      <c r="K906" s="3"/>
    </row>
    <row r="907" ht="15.75" customHeight="1">
      <c r="A907" s="3"/>
      <c r="B907" s="3"/>
      <c r="C907" s="3"/>
      <c r="D907" s="3"/>
      <c r="E907" s="3"/>
      <c r="F907" s="3"/>
      <c r="G907" s="3"/>
      <c r="H907" s="3"/>
      <c r="I907" s="3"/>
      <c r="J907" s="3"/>
      <c r="K907" s="3"/>
    </row>
    <row r="908" ht="15.75" customHeight="1">
      <c r="A908" s="3"/>
      <c r="B908" s="3"/>
      <c r="C908" s="3"/>
      <c r="D908" s="3"/>
      <c r="E908" s="3"/>
      <c r="F908" s="3"/>
      <c r="G908" s="3"/>
      <c r="H908" s="3"/>
      <c r="I908" s="3"/>
      <c r="J908" s="3"/>
      <c r="K908" s="3"/>
    </row>
    <row r="909" ht="15.75" customHeight="1">
      <c r="A909" s="3"/>
      <c r="B909" s="3"/>
      <c r="C909" s="3"/>
      <c r="D909" s="3"/>
      <c r="E909" s="3"/>
      <c r="F909" s="3"/>
      <c r="G909" s="3"/>
      <c r="H909" s="3"/>
      <c r="I909" s="3"/>
      <c r="J909" s="3"/>
      <c r="K909" s="3"/>
    </row>
    <row r="910" ht="15.75" customHeight="1">
      <c r="A910" s="3"/>
      <c r="B910" s="3"/>
      <c r="C910" s="3"/>
      <c r="D910" s="3"/>
      <c r="E910" s="3"/>
      <c r="F910" s="3"/>
      <c r="G910" s="3"/>
      <c r="H910" s="3"/>
      <c r="I910" s="3"/>
      <c r="J910" s="3"/>
      <c r="K910" s="3"/>
    </row>
    <row r="911" ht="15.75" customHeight="1">
      <c r="A911" s="3"/>
      <c r="B911" s="3"/>
      <c r="C911" s="3"/>
      <c r="D911" s="3"/>
      <c r="E911" s="3"/>
      <c r="F911" s="3"/>
      <c r="G911" s="3"/>
      <c r="H911" s="3"/>
      <c r="I911" s="3"/>
      <c r="J911" s="3"/>
      <c r="K911" s="3"/>
    </row>
    <row r="912" ht="15.75" customHeight="1">
      <c r="A912" s="3"/>
      <c r="B912" s="3"/>
      <c r="C912" s="3"/>
      <c r="D912" s="3"/>
      <c r="E912" s="3"/>
      <c r="F912" s="3"/>
      <c r="G912" s="3"/>
      <c r="H912" s="3"/>
      <c r="I912" s="3"/>
      <c r="J912" s="3"/>
      <c r="K912" s="3"/>
    </row>
    <row r="913" ht="15.75" customHeight="1">
      <c r="A913" s="3"/>
      <c r="B913" s="3"/>
      <c r="C913" s="3"/>
      <c r="D913" s="3"/>
      <c r="E913" s="3"/>
      <c r="F913" s="3"/>
      <c r="G913" s="3"/>
      <c r="H913" s="3"/>
      <c r="I913" s="3"/>
      <c r="J913" s="3"/>
      <c r="K913" s="3"/>
    </row>
    <row r="914" ht="15.75" customHeight="1">
      <c r="A914" s="3"/>
      <c r="B914" s="3"/>
      <c r="C914" s="3"/>
      <c r="D914" s="3"/>
      <c r="E914" s="3"/>
      <c r="F914" s="3"/>
      <c r="G914" s="3"/>
      <c r="H914" s="3"/>
      <c r="I914" s="3"/>
      <c r="J914" s="3"/>
      <c r="K914" s="3"/>
    </row>
    <row r="915" ht="15.75" customHeight="1">
      <c r="A915" s="3"/>
      <c r="B915" s="3"/>
      <c r="C915" s="3"/>
      <c r="D915" s="3"/>
      <c r="E915" s="3"/>
      <c r="F915" s="3"/>
      <c r="G915" s="3"/>
      <c r="H915" s="3"/>
      <c r="I915" s="3"/>
      <c r="J915" s="3"/>
      <c r="K915" s="3"/>
    </row>
    <row r="916" ht="15.75" customHeight="1">
      <c r="A916" s="3"/>
      <c r="B916" s="3"/>
      <c r="C916" s="3"/>
      <c r="D916" s="3"/>
      <c r="E916" s="3"/>
      <c r="F916" s="3"/>
      <c r="G916" s="3"/>
      <c r="H916" s="3"/>
      <c r="I916" s="3"/>
      <c r="J916" s="3"/>
      <c r="K916" s="3"/>
    </row>
    <row r="917" ht="15.75" customHeight="1">
      <c r="A917" s="3"/>
      <c r="B917" s="3"/>
      <c r="C917" s="3"/>
      <c r="D917" s="3"/>
      <c r="E917" s="3"/>
      <c r="F917" s="3"/>
      <c r="G917" s="3"/>
      <c r="H917" s="3"/>
      <c r="I917" s="3"/>
      <c r="J917" s="3"/>
      <c r="K917" s="3"/>
    </row>
    <row r="918" ht="15.75" customHeight="1">
      <c r="A918" s="3"/>
      <c r="B918" s="3"/>
      <c r="C918" s="3"/>
      <c r="D918" s="3"/>
      <c r="E918" s="3"/>
      <c r="F918" s="3"/>
      <c r="G918" s="3"/>
      <c r="H918" s="3"/>
      <c r="I918" s="3"/>
      <c r="J918" s="3"/>
      <c r="K918" s="3"/>
    </row>
    <row r="919" ht="15.75" customHeight="1">
      <c r="A919" s="3"/>
      <c r="B919" s="3"/>
      <c r="C919" s="3"/>
      <c r="D919" s="3"/>
      <c r="E919" s="3"/>
      <c r="F919" s="3"/>
      <c r="G919" s="3"/>
      <c r="H919" s="3"/>
      <c r="I919" s="3"/>
      <c r="J919" s="3"/>
      <c r="K919" s="3"/>
    </row>
    <row r="920" ht="15.75" customHeight="1">
      <c r="A920" s="3"/>
      <c r="B920" s="3"/>
      <c r="C920" s="3"/>
      <c r="D920" s="3"/>
      <c r="E920" s="3"/>
      <c r="F920" s="3"/>
      <c r="G920" s="3"/>
      <c r="H920" s="3"/>
      <c r="I920" s="3"/>
      <c r="J920" s="3"/>
      <c r="K920" s="3"/>
    </row>
    <row r="921" ht="15.75" customHeight="1">
      <c r="A921" s="3"/>
      <c r="B921" s="3"/>
      <c r="C921" s="3"/>
      <c r="D921" s="3"/>
      <c r="E921" s="3"/>
      <c r="F921" s="3"/>
      <c r="G921" s="3"/>
      <c r="H921" s="3"/>
      <c r="I921" s="3"/>
      <c r="J921" s="3"/>
      <c r="K921" s="3"/>
    </row>
    <row r="922" ht="15.75" customHeight="1">
      <c r="A922" s="3"/>
      <c r="B922" s="3"/>
      <c r="C922" s="3"/>
      <c r="D922" s="3"/>
      <c r="E922" s="3"/>
      <c r="F922" s="3"/>
      <c r="G922" s="3"/>
      <c r="H922" s="3"/>
      <c r="I922" s="3"/>
      <c r="J922" s="3"/>
      <c r="K922" s="3"/>
    </row>
    <row r="923" ht="15.75" customHeight="1">
      <c r="A923" s="3"/>
      <c r="B923" s="3"/>
      <c r="C923" s="3"/>
      <c r="D923" s="3"/>
      <c r="E923" s="3"/>
      <c r="F923" s="3"/>
      <c r="G923" s="3"/>
      <c r="H923" s="3"/>
      <c r="I923" s="3"/>
      <c r="J923" s="3"/>
      <c r="K923" s="3"/>
    </row>
    <row r="924" ht="15.75" customHeight="1">
      <c r="A924" s="3"/>
      <c r="B924" s="3"/>
      <c r="C924" s="3"/>
      <c r="D924" s="3"/>
      <c r="E924" s="3"/>
      <c r="F924" s="3"/>
      <c r="G924" s="3"/>
      <c r="H924" s="3"/>
      <c r="I924" s="3"/>
      <c r="J924" s="3"/>
      <c r="K924" s="3"/>
    </row>
    <row r="925" ht="15.75" customHeight="1">
      <c r="A925" s="3"/>
      <c r="B925" s="3"/>
      <c r="C925" s="3"/>
      <c r="D925" s="3"/>
      <c r="E925" s="3"/>
      <c r="F925" s="3"/>
      <c r="G925" s="3"/>
      <c r="H925" s="3"/>
      <c r="I925" s="3"/>
      <c r="J925" s="3"/>
      <c r="K925" s="3"/>
    </row>
    <row r="926" ht="15.75" customHeight="1">
      <c r="A926" s="3"/>
      <c r="B926" s="3"/>
      <c r="C926" s="3"/>
      <c r="D926" s="3"/>
      <c r="E926" s="3"/>
      <c r="F926" s="3"/>
      <c r="G926" s="3"/>
      <c r="H926" s="3"/>
      <c r="I926" s="3"/>
      <c r="J926" s="3"/>
      <c r="K926" s="3"/>
    </row>
    <row r="927" ht="15.75" customHeight="1">
      <c r="A927" s="3"/>
      <c r="B927" s="3"/>
      <c r="C927" s="3"/>
      <c r="D927" s="3"/>
      <c r="E927" s="3"/>
      <c r="F927" s="3"/>
      <c r="G927" s="3"/>
      <c r="H927" s="3"/>
      <c r="I927" s="3"/>
      <c r="J927" s="3"/>
      <c r="K927" s="3"/>
    </row>
    <row r="928" ht="15.75" customHeight="1">
      <c r="A928" s="3"/>
      <c r="B928" s="3"/>
      <c r="C928" s="3"/>
      <c r="D928" s="3"/>
      <c r="E928" s="3"/>
      <c r="F928" s="3"/>
      <c r="G928" s="3"/>
      <c r="H928" s="3"/>
      <c r="I928" s="3"/>
      <c r="J928" s="3"/>
      <c r="K928" s="3"/>
    </row>
    <row r="929" ht="15.75" customHeight="1">
      <c r="A929" s="3"/>
      <c r="B929" s="3"/>
      <c r="C929" s="3"/>
      <c r="D929" s="3"/>
      <c r="E929" s="3"/>
      <c r="F929" s="3"/>
      <c r="G929" s="3"/>
      <c r="H929" s="3"/>
      <c r="I929" s="3"/>
      <c r="J929" s="3"/>
      <c r="K929" s="3"/>
    </row>
    <row r="930" ht="15.75" customHeight="1">
      <c r="A930" s="3"/>
      <c r="B930" s="3"/>
      <c r="C930" s="3"/>
      <c r="D930" s="3"/>
      <c r="E930" s="3"/>
      <c r="F930" s="3"/>
      <c r="G930" s="3"/>
      <c r="H930" s="3"/>
      <c r="I930" s="3"/>
      <c r="J930" s="3"/>
      <c r="K930" s="3"/>
    </row>
    <row r="931" ht="15.75" customHeight="1">
      <c r="A931" s="3"/>
      <c r="B931" s="3"/>
      <c r="C931" s="3"/>
      <c r="D931" s="3"/>
      <c r="E931" s="3"/>
      <c r="F931" s="3"/>
      <c r="G931" s="3"/>
      <c r="H931" s="3"/>
      <c r="I931" s="3"/>
      <c r="J931" s="3"/>
      <c r="K931" s="3"/>
    </row>
    <row r="932" ht="15.75" customHeight="1">
      <c r="A932" s="3"/>
      <c r="B932" s="3"/>
      <c r="C932" s="3"/>
      <c r="D932" s="3"/>
      <c r="E932" s="3"/>
      <c r="F932" s="3"/>
      <c r="G932" s="3"/>
      <c r="H932" s="3"/>
      <c r="I932" s="3"/>
      <c r="J932" s="3"/>
      <c r="K932" s="3"/>
    </row>
    <row r="933" ht="15.75" customHeight="1">
      <c r="A933" s="3"/>
      <c r="B933" s="3"/>
      <c r="C933" s="3"/>
      <c r="D933" s="3"/>
      <c r="E933" s="3"/>
      <c r="F933" s="3"/>
      <c r="G933" s="3"/>
      <c r="H933" s="3"/>
      <c r="I933" s="3"/>
      <c r="J933" s="3"/>
      <c r="K933" s="3"/>
    </row>
    <row r="934" ht="15.75" customHeight="1">
      <c r="A934" s="3"/>
      <c r="B934" s="3"/>
      <c r="C934" s="3"/>
      <c r="D934" s="3"/>
      <c r="E934" s="3"/>
      <c r="F934" s="3"/>
      <c r="G934" s="3"/>
      <c r="H934" s="3"/>
      <c r="I934" s="3"/>
      <c r="J934" s="3"/>
      <c r="K934" s="3"/>
    </row>
    <row r="935" ht="15.75" customHeight="1">
      <c r="A935" s="3"/>
      <c r="B935" s="3"/>
      <c r="C935" s="3"/>
      <c r="D935" s="3"/>
      <c r="E935" s="3"/>
      <c r="F935" s="3"/>
      <c r="G935" s="3"/>
      <c r="H935" s="3"/>
      <c r="I935" s="3"/>
      <c r="J935" s="3"/>
      <c r="K935" s="3"/>
    </row>
    <row r="936" ht="15.75" customHeight="1">
      <c r="A936" s="3"/>
      <c r="B936" s="3"/>
      <c r="C936" s="3"/>
      <c r="D936" s="3"/>
      <c r="E936" s="3"/>
      <c r="F936" s="3"/>
      <c r="G936" s="3"/>
      <c r="H936" s="3"/>
      <c r="I936" s="3"/>
      <c r="J936" s="3"/>
      <c r="K936" s="3"/>
    </row>
    <row r="937" ht="15.75" customHeight="1">
      <c r="A937" s="3"/>
      <c r="B937" s="3"/>
      <c r="C937" s="3"/>
      <c r="D937" s="3"/>
      <c r="E937" s="3"/>
      <c r="F937" s="3"/>
      <c r="G937" s="3"/>
      <c r="H937" s="3"/>
      <c r="I937" s="3"/>
      <c r="J937" s="3"/>
      <c r="K937" s="3"/>
    </row>
    <row r="938" ht="15.75" customHeight="1">
      <c r="A938" s="3"/>
      <c r="B938" s="3"/>
      <c r="C938" s="3"/>
      <c r="D938" s="3"/>
      <c r="E938" s="3"/>
      <c r="F938" s="3"/>
      <c r="G938" s="3"/>
      <c r="H938" s="3"/>
      <c r="I938" s="3"/>
      <c r="J938" s="3"/>
      <c r="K938" s="3"/>
    </row>
    <row r="939" ht="15.75" customHeight="1">
      <c r="A939" s="3"/>
      <c r="B939" s="3"/>
      <c r="C939" s="3"/>
      <c r="D939" s="3"/>
      <c r="E939" s="3"/>
      <c r="F939" s="3"/>
      <c r="G939" s="3"/>
      <c r="H939" s="3"/>
      <c r="I939" s="3"/>
      <c r="J939" s="3"/>
      <c r="K939" s="3"/>
    </row>
    <row r="940" ht="15.75" customHeight="1">
      <c r="A940" s="3"/>
      <c r="B940" s="3"/>
      <c r="C940" s="3"/>
      <c r="D940" s="3"/>
      <c r="E940" s="3"/>
      <c r="F940" s="3"/>
      <c r="G940" s="3"/>
      <c r="H940" s="3"/>
      <c r="I940" s="3"/>
      <c r="J940" s="3"/>
      <c r="K940" s="3"/>
    </row>
    <row r="941" ht="15.75" customHeight="1">
      <c r="A941" s="3"/>
      <c r="B941" s="3"/>
      <c r="C941" s="3"/>
      <c r="D941" s="3"/>
      <c r="E941" s="3"/>
      <c r="F941" s="3"/>
      <c r="G941" s="3"/>
      <c r="H941" s="3"/>
      <c r="I941" s="3"/>
      <c r="J941" s="3"/>
      <c r="K941" s="3"/>
    </row>
    <row r="942" ht="15.75" customHeight="1">
      <c r="A942" s="3"/>
      <c r="B942" s="3"/>
      <c r="C942" s="3"/>
      <c r="D942" s="3"/>
      <c r="E942" s="3"/>
      <c r="F942" s="3"/>
      <c r="G942" s="3"/>
      <c r="H942" s="3"/>
      <c r="I942" s="3"/>
      <c r="J942" s="3"/>
      <c r="K942" s="3"/>
    </row>
    <row r="943" ht="15.75" customHeight="1">
      <c r="A943" s="3"/>
      <c r="B943" s="3"/>
      <c r="C943" s="3"/>
      <c r="D943" s="3"/>
      <c r="E943" s="3"/>
      <c r="F943" s="3"/>
      <c r="G943" s="3"/>
      <c r="H943" s="3"/>
      <c r="I943" s="3"/>
      <c r="J943" s="3"/>
      <c r="K943" s="3"/>
    </row>
    <row r="944" ht="15.75" customHeight="1">
      <c r="A944" s="3"/>
      <c r="B944" s="3"/>
      <c r="C944" s="3"/>
      <c r="D944" s="3"/>
      <c r="E944" s="3"/>
      <c r="F944" s="3"/>
      <c r="G944" s="3"/>
      <c r="H944" s="3"/>
      <c r="I944" s="3"/>
      <c r="J944" s="3"/>
      <c r="K944" s="3"/>
    </row>
    <row r="945" ht="15.75" customHeight="1">
      <c r="A945" s="3"/>
      <c r="B945" s="3"/>
      <c r="C945" s="3"/>
      <c r="D945" s="3"/>
      <c r="E945" s="3"/>
      <c r="F945" s="3"/>
      <c r="G945" s="3"/>
      <c r="H945" s="3"/>
      <c r="I945" s="3"/>
      <c r="J945" s="3"/>
      <c r="K945" s="3"/>
    </row>
    <row r="946" ht="15.75" customHeight="1">
      <c r="A946" s="3"/>
      <c r="B946" s="3"/>
      <c r="C946" s="3"/>
      <c r="D946" s="3"/>
      <c r="E946" s="3"/>
      <c r="F946" s="3"/>
      <c r="G946" s="3"/>
      <c r="H946" s="3"/>
      <c r="I946" s="3"/>
      <c r="J946" s="3"/>
      <c r="K946" s="3"/>
    </row>
    <row r="947" ht="15.75" customHeight="1">
      <c r="A947" s="3"/>
      <c r="B947" s="3"/>
      <c r="C947" s="3"/>
      <c r="D947" s="3"/>
      <c r="E947" s="3"/>
      <c r="F947" s="3"/>
      <c r="G947" s="3"/>
      <c r="H947" s="3"/>
      <c r="I947" s="3"/>
      <c r="J947" s="3"/>
      <c r="K947" s="3"/>
    </row>
    <row r="948" ht="15.75" customHeight="1">
      <c r="A948" s="3"/>
      <c r="B948" s="3"/>
      <c r="C948" s="3"/>
      <c r="D948" s="3"/>
      <c r="E948" s="3"/>
      <c r="F948" s="3"/>
      <c r="G948" s="3"/>
      <c r="H948" s="3"/>
      <c r="I948" s="3"/>
      <c r="J948" s="3"/>
      <c r="K948" s="3"/>
    </row>
    <row r="949" ht="15.75" customHeight="1">
      <c r="A949" s="3"/>
      <c r="B949" s="3"/>
      <c r="C949" s="3"/>
      <c r="D949" s="3"/>
      <c r="E949" s="3"/>
      <c r="F949" s="3"/>
      <c r="G949" s="3"/>
      <c r="H949" s="3"/>
      <c r="I949" s="3"/>
      <c r="J949" s="3"/>
      <c r="K949" s="3"/>
    </row>
    <row r="950" ht="15.75" customHeight="1">
      <c r="A950" s="3"/>
      <c r="B950" s="3"/>
      <c r="C950" s="3"/>
      <c r="D950" s="3"/>
      <c r="E950" s="3"/>
      <c r="F950" s="3"/>
      <c r="G950" s="3"/>
      <c r="H950" s="3"/>
      <c r="I950" s="3"/>
      <c r="J950" s="3"/>
      <c r="K950" s="3"/>
    </row>
    <row r="951" ht="15.75" customHeight="1">
      <c r="A951" s="3"/>
      <c r="B951" s="3"/>
      <c r="C951" s="3"/>
      <c r="D951" s="3"/>
      <c r="E951" s="3"/>
      <c r="F951" s="3"/>
      <c r="G951" s="3"/>
      <c r="H951" s="3"/>
      <c r="I951" s="3"/>
      <c r="J951" s="3"/>
      <c r="K951" s="3"/>
    </row>
    <row r="952" ht="15.75" customHeight="1">
      <c r="A952" s="3"/>
      <c r="B952" s="3"/>
      <c r="C952" s="3"/>
      <c r="D952" s="3"/>
      <c r="E952" s="3"/>
      <c r="F952" s="3"/>
      <c r="G952" s="3"/>
      <c r="H952" s="3"/>
      <c r="I952" s="3"/>
      <c r="J952" s="3"/>
      <c r="K952" s="3"/>
    </row>
    <row r="953" ht="15.75" customHeight="1">
      <c r="A953" s="3"/>
      <c r="B953" s="3"/>
      <c r="C953" s="3"/>
      <c r="D953" s="3"/>
      <c r="E953" s="3"/>
      <c r="F953" s="3"/>
      <c r="G953" s="3"/>
      <c r="H953" s="3"/>
      <c r="I953" s="3"/>
      <c r="J953" s="3"/>
      <c r="K953" s="3"/>
    </row>
    <row r="954" ht="15.75" customHeight="1">
      <c r="A954" s="3"/>
      <c r="B954" s="3"/>
      <c r="C954" s="3"/>
      <c r="D954" s="3"/>
      <c r="E954" s="3"/>
      <c r="F954" s="3"/>
      <c r="G954" s="3"/>
      <c r="H954" s="3"/>
      <c r="I954" s="3"/>
      <c r="J954" s="3"/>
      <c r="K954" s="3"/>
    </row>
    <row r="955" ht="15.75" customHeight="1">
      <c r="A955" s="3"/>
      <c r="B955" s="3"/>
      <c r="C955" s="3"/>
      <c r="D955" s="3"/>
      <c r="E955" s="3"/>
      <c r="F955" s="3"/>
      <c r="G955" s="3"/>
      <c r="H955" s="3"/>
      <c r="I955" s="3"/>
      <c r="J955" s="3"/>
      <c r="K955" s="3"/>
    </row>
    <row r="956" ht="15.75" customHeight="1">
      <c r="A956" s="3"/>
      <c r="B956" s="3"/>
      <c r="C956" s="3"/>
      <c r="D956" s="3"/>
      <c r="E956" s="3"/>
      <c r="F956" s="3"/>
      <c r="G956" s="3"/>
      <c r="H956" s="3"/>
      <c r="I956" s="3"/>
      <c r="J956" s="3"/>
      <c r="K956" s="3"/>
    </row>
    <row r="957" ht="15.75" customHeight="1">
      <c r="A957" s="3"/>
      <c r="B957" s="3"/>
      <c r="C957" s="3"/>
      <c r="D957" s="3"/>
      <c r="E957" s="3"/>
      <c r="F957" s="3"/>
      <c r="G957" s="3"/>
      <c r="H957" s="3"/>
      <c r="I957" s="3"/>
      <c r="J957" s="3"/>
      <c r="K957" s="3"/>
    </row>
    <row r="958" ht="15.75" customHeight="1">
      <c r="A958" s="3"/>
      <c r="B958" s="3"/>
      <c r="C958" s="3"/>
      <c r="D958" s="3"/>
      <c r="E958" s="3"/>
      <c r="F958" s="3"/>
      <c r="G958" s="3"/>
      <c r="H958" s="3"/>
      <c r="I958" s="3"/>
      <c r="J958" s="3"/>
      <c r="K958" s="3"/>
    </row>
    <row r="959" ht="15.75" customHeight="1">
      <c r="A959" s="3"/>
      <c r="B959" s="3"/>
      <c r="C959" s="3"/>
      <c r="D959" s="3"/>
      <c r="E959" s="3"/>
      <c r="F959" s="3"/>
      <c r="G959" s="3"/>
      <c r="H959" s="3"/>
      <c r="I959" s="3"/>
      <c r="J959" s="3"/>
      <c r="K959" s="3"/>
    </row>
    <row r="960" ht="15.75" customHeight="1">
      <c r="A960" s="3"/>
      <c r="B960" s="3"/>
      <c r="C960" s="3"/>
      <c r="D960" s="3"/>
      <c r="E960" s="3"/>
      <c r="F960" s="3"/>
      <c r="G960" s="3"/>
      <c r="H960" s="3"/>
      <c r="I960" s="3"/>
      <c r="J960" s="3"/>
      <c r="K960" s="3"/>
    </row>
    <row r="961" ht="15.75" customHeight="1">
      <c r="A961" s="3"/>
      <c r="B961" s="3"/>
      <c r="C961" s="3"/>
      <c r="D961" s="3"/>
      <c r="E961" s="3"/>
      <c r="F961" s="3"/>
      <c r="G961" s="3"/>
      <c r="H961" s="3"/>
      <c r="I961" s="3"/>
      <c r="J961" s="3"/>
      <c r="K961" s="3"/>
    </row>
    <row r="962" ht="15.75" customHeight="1">
      <c r="A962" s="3"/>
      <c r="B962" s="3"/>
      <c r="C962" s="3"/>
      <c r="D962" s="3"/>
      <c r="E962" s="3"/>
      <c r="F962" s="3"/>
      <c r="G962" s="3"/>
      <c r="H962" s="3"/>
      <c r="I962" s="3"/>
      <c r="J962" s="3"/>
      <c r="K962" s="3"/>
    </row>
    <row r="963" ht="15.75" customHeight="1">
      <c r="A963" s="3"/>
      <c r="B963" s="3"/>
      <c r="C963" s="3"/>
      <c r="D963" s="3"/>
      <c r="E963" s="3"/>
      <c r="F963" s="3"/>
      <c r="G963" s="3"/>
      <c r="H963" s="3"/>
      <c r="I963" s="3"/>
      <c r="J963" s="3"/>
      <c r="K963" s="3"/>
    </row>
    <row r="964" ht="15.75" customHeight="1">
      <c r="A964" s="3"/>
      <c r="B964" s="3"/>
      <c r="C964" s="3"/>
      <c r="D964" s="3"/>
      <c r="E964" s="3"/>
      <c r="F964" s="3"/>
      <c r="G964" s="3"/>
      <c r="H964" s="3"/>
      <c r="I964" s="3"/>
      <c r="J964" s="3"/>
      <c r="K964" s="3"/>
    </row>
    <row r="965" ht="15.75" customHeight="1">
      <c r="A965" s="3"/>
      <c r="B965" s="3"/>
      <c r="C965" s="3"/>
      <c r="D965" s="3"/>
      <c r="E965" s="3"/>
      <c r="F965" s="3"/>
      <c r="G965" s="3"/>
      <c r="H965" s="3"/>
      <c r="I965" s="3"/>
      <c r="J965" s="3"/>
      <c r="K965" s="3"/>
    </row>
    <row r="966" ht="15.75" customHeight="1">
      <c r="A966" s="3"/>
      <c r="B966" s="3"/>
      <c r="C966" s="3"/>
      <c r="D966" s="3"/>
      <c r="E966" s="3"/>
      <c r="F966" s="3"/>
      <c r="G966" s="3"/>
      <c r="H966" s="3"/>
      <c r="I966" s="3"/>
      <c r="J966" s="3"/>
      <c r="K966" s="3"/>
    </row>
    <row r="967" ht="15.75" customHeight="1">
      <c r="A967" s="3"/>
      <c r="B967" s="3"/>
      <c r="C967" s="3"/>
      <c r="D967" s="3"/>
      <c r="E967" s="3"/>
      <c r="F967" s="3"/>
      <c r="G967" s="3"/>
      <c r="H967" s="3"/>
      <c r="I967" s="3"/>
      <c r="J967" s="3"/>
      <c r="K967" s="3"/>
    </row>
    <row r="968" ht="15.75" customHeight="1">
      <c r="A968" s="3"/>
      <c r="B968" s="3"/>
      <c r="C968" s="3"/>
      <c r="D968" s="3"/>
      <c r="E968" s="3"/>
      <c r="F968" s="3"/>
      <c r="G968" s="3"/>
      <c r="H968" s="3"/>
      <c r="I968" s="3"/>
      <c r="J968" s="3"/>
      <c r="K968" s="3"/>
    </row>
    <row r="969" ht="15.75" customHeight="1">
      <c r="A969" s="3"/>
      <c r="B969" s="3"/>
      <c r="C969" s="3"/>
      <c r="D969" s="3"/>
      <c r="E969" s="3"/>
      <c r="F969" s="3"/>
      <c r="G969" s="3"/>
      <c r="H969" s="3"/>
      <c r="I969" s="3"/>
      <c r="J969" s="3"/>
      <c r="K969" s="3"/>
    </row>
    <row r="970" ht="15.75" customHeight="1">
      <c r="A970" s="3"/>
      <c r="B970" s="3"/>
      <c r="C970" s="3"/>
      <c r="D970" s="3"/>
      <c r="E970" s="3"/>
      <c r="F970" s="3"/>
      <c r="G970" s="3"/>
      <c r="H970" s="3"/>
      <c r="I970" s="3"/>
      <c r="J970" s="3"/>
      <c r="K970" s="3"/>
    </row>
    <row r="971" ht="15.75" customHeight="1">
      <c r="A971" s="3"/>
      <c r="B971" s="3"/>
      <c r="C971" s="3"/>
      <c r="D971" s="3"/>
      <c r="E971" s="3"/>
      <c r="F971" s="3"/>
      <c r="G971" s="3"/>
      <c r="H971" s="3"/>
      <c r="I971" s="3"/>
      <c r="J971" s="3"/>
      <c r="K971" s="3"/>
    </row>
    <row r="972" ht="15.75" customHeight="1">
      <c r="A972" s="3"/>
      <c r="B972" s="3"/>
      <c r="C972" s="3"/>
      <c r="D972" s="3"/>
      <c r="E972" s="3"/>
      <c r="F972" s="3"/>
      <c r="G972" s="3"/>
      <c r="H972" s="3"/>
      <c r="I972" s="3"/>
      <c r="J972" s="3"/>
      <c r="K972" s="3"/>
    </row>
    <row r="973" ht="15.75" customHeight="1">
      <c r="A973" s="3"/>
      <c r="B973" s="3"/>
      <c r="C973" s="3"/>
      <c r="D973" s="3"/>
      <c r="E973" s="3"/>
      <c r="F973" s="3"/>
      <c r="G973" s="3"/>
      <c r="H973" s="3"/>
      <c r="I973" s="3"/>
      <c r="J973" s="3"/>
      <c r="K973" s="3"/>
    </row>
    <row r="974" ht="15.75" customHeight="1">
      <c r="A974" s="3"/>
      <c r="B974" s="3"/>
      <c r="C974" s="3"/>
      <c r="D974" s="3"/>
      <c r="E974" s="3"/>
      <c r="F974" s="3"/>
      <c r="G974" s="3"/>
      <c r="H974" s="3"/>
      <c r="I974" s="3"/>
      <c r="J974" s="3"/>
      <c r="K974" s="3"/>
    </row>
    <row r="975" ht="15.75" customHeight="1">
      <c r="A975" s="3"/>
      <c r="B975" s="3"/>
      <c r="C975" s="3"/>
      <c r="D975" s="3"/>
      <c r="E975" s="3"/>
      <c r="F975" s="3"/>
      <c r="G975" s="3"/>
      <c r="H975" s="3"/>
      <c r="I975" s="3"/>
      <c r="J975" s="3"/>
      <c r="K975" s="3"/>
    </row>
    <row r="976" ht="15.75" customHeight="1">
      <c r="A976" s="3"/>
      <c r="B976" s="3"/>
      <c r="C976" s="3"/>
      <c r="D976" s="3"/>
      <c r="E976" s="3"/>
      <c r="F976" s="3"/>
      <c r="G976" s="3"/>
      <c r="H976" s="3"/>
      <c r="I976" s="3"/>
      <c r="J976" s="3"/>
      <c r="K976" s="3"/>
    </row>
    <row r="977" ht="15.75" customHeight="1">
      <c r="A977" s="3"/>
      <c r="B977" s="3"/>
      <c r="C977" s="3"/>
      <c r="D977" s="3"/>
      <c r="E977" s="3"/>
      <c r="F977" s="3"/>
      <c r="G977" s="3"/>
      <c r="H977" s="3"/>
      <c r="I977" s="3"/>
      <c r="J977" s="3"/>
      <c r="K977" s="3"/>
    </row>
    <row r="978" ht="15.75" customHeight="1">
      <c r="A978" s="3"/>
      <c r="B978" s="3"/>
      <c r="C978" s="3"/>
      <c r="D978" s="3"/>
      <c r="E978" s="3"/>
      <c r="F978" s="3"/>
      <c r="G978" s="3"/>
      <c r="H978" s="3"/>
      <c r="I978" s="3"/>
      <c r="J978" s="3"/>
      <c r="K978" s="3"/>
    </row>
    <row r="979" ht="15.75" customHeight="1">
      <c r="A979" s="3"/>
      <c r="B979" s="3"/>
      <c r="C979" s="3"/>
      <c r="D979" s="3"/>
      <c r="E979" s="3"/>
      <c r="F979" s="3"/>
      <c r="G979" s="3"/>
      <c r="H979" s="3"/>
      <c r="I979" s="3"/>
      <c r="J979" s="3"/>
      <c r="K979" s="3"/>
    </row>
    <row r="980" ht="15.75" customHeight="1">
      <c r="A980" s="3"/>
      <c r="B980" s="3"/>
      <c r="C980" s="3"/>
      <c r="D980" s="3"/>
      <c r="E980" s="3"/>
      <c r="F980" s="3"/>
      <c r="G980" s="3"/>
      <c r="H980" s="3"/>
      <c r="I980" s="3"/>
      <c r="J980" s="3"/>
      <c r="K980" s="3"/>
    </row>
    <row r="981" ht="15.75" customHeight="1">
      <c r="A981" s="3"/>
      <c r="B981" s="3"/>
      <c r="C981" s="3"/>
      <c r="D981" s="3"/>
      <c r="E981" s="3"/>
      <c r="F981" s="3"/>
      <c r="G981" s="3"/>
      <c r="H981" s="3"/>
      <c r="I981" s="3"/>
      <c r="J981" s="3"/>
      <c r="K981" s="3"/>
    </row>
    <row r="982" ht="15.75" customHeight="1">
      <c r="A982" s="3"/>
      <c r="B982" s="3"/>
      <c r="C982" s="3"/>
      <c r="D982" s="3"/>
      <c r="E982" s="3"/>
      <c r="F982" s="3"/>
      <c r="G982" s="3"/>
      <c r="H982" s="3"/>
      <c r="I982" s="3"/>
      <c r="J982" s="3"/>
      <c r="K982" s="3"/>
    </row>
    <row r="983" ht="15.75" customHeight="1">
      <c r="A983" s="3"/>
      <c r="B983" s="3"/>
      <c r="C983" s="3"/>
      <c r="D983" s="3"/>
      <c r="E983" s="3"/>
      <c r="F983" s="3"/>
      <c r="G983" s="3"/>
      <c r="H983" s="3"/>
      <c r="I983" s="3"/>
      <c r="J983" s="3"/>
      <c r="K983" s="3"/>
    </row>
    <row r="984" ht="15.75" customHeight="1">
      <c r="A984" s="3"/>
      <c r="B984" s="3"/>
      <c r="C984" s="3"/>
      <c r="D984" s="3"/>
      <c r="E984" s="3"/>
      <c r="F984" s="3"/>
      <c r="G984" s="3"/>
      <c r="H984" s="3"/>
      <c r="I984" s="3"/>
      <c r="J984" s="3"/>
      <c r="K984" s="3"/>
    </row>
    <row r="985" ht="15.75" customHeight="1">
      <c r="A985" s="3"/>
      <c r="B985" s="3"/>
      <c r="C985" s="3"/>
      <c r="D985" s="3"/>
      <c r="E985" s="3"/>
      <c r="F985" s="3"/>
      <c r="G985" s="3"/>
      <c r="H985" s="3"/>
      <c r="I985" s="3"/>
      <c r="J985" s="3"/>
      <c r="K985" s="3"/>
    </row>
    <row r="986" ht="15.75" customHeight="1">
      <c r="A986" s="3"/>
      <c r="B986" s="3"/>
      <c r="C986" s="3"/>
      <c r="D986" s="3"/>
      <c r="E986" s="3"/>
      <c r="F986" s="3"/>
      <c r="G986" s="3"/>
      <c r="H986" s="3"/>
      <c r="I986" s="3"/>
      <c r="J986" s="3"/>
      <c r="K986" s="3"/>
    </row>
    <row r="987" ht="15.75" customHeight="1">
      <c r="A987" s="3"/>
      <c r="B987" s="3"/>
      <c r="C987" s="3"/>
      <c r="D987" s="3"/>
      <c r="E987" s="3"/>
      <c r="F987" s="3"/>
      <c r="G987" s="3"/>
      <c r="H987" s="3"/>
      <c r="I987" s="3"/>
      <c r="J987" s="3"/>
      <c r="K987" s="3"/>
    </row>
    <row r="988" ht="15.75" customHeight="1">
      <c r="A988" s="3"/>
      <c r="B988" s="3"/>
      <c r="C988" s="3"/>
      <c r="D988" s="3"/>
      <c r="E988" s="3"/>
      <c r="F988" s="3"/>
      <c r="G988" s="3"/>
      <c r="H988" s="3"/>
      <c r="I988" s="3"/>
      <c r="J988" s="3"/>
      <c r="K988" s="3"/>
    </row>
    <row r="989" ht="15.75" customHeight="1">
      <c r="A989" s="3"/>
      <c r="B989" s="3"/>
      <c r="C989" s="3"/>
      <c r="D989" s="3"/>
      <c r="E989" s="3"/>
      <c r="F989" s="3"/>
      <c r="G989" s="3"/>
      <c r="H989" s="3"/>
      <c r="I989" s="3"/>
      <c r="J989" s="3"/>
      <c r="K989" s="3"/>
    </row>
    <row r="990" ht="15.75" customHeight="1">
      <c r="A990" s="3"/>
      <c r="B990" s="3"/>
      <c r="C990" s="3"/>
      <c r="D990" s="3"/>
      <c r="E990" s="3"/>
      <c r="F990" s="3"/>
      <c r="G990" s="3"/>
      <c r="H990" s="3"/>
      <c r="I990" s="3"/>
      <c r="J990" s="3"/>
      <c r="K990" s="3"/>
    </row>
    <row r="991" ht="15.75" customHeight="1">
      <c r="A991" s="3"/>
      <c r="B991" s="3"/>
      <c r="C991" s="3"/>
      <c r="D991" s="3"/>
      <c r="E991" s="3"/>
      <c r="F991" s="3"/>
      <c r="G991" s="3"/>
      <c r="H991" s="3"/>
      <c r="I991" s="3"/>
      <c r="J991" s="3"/>
      <c r="K991" s="3"/>
    </row>
    <row r="992" ht="15.75" customHeight="1">
      <c r="A992" s="3"/>
      <c r="B992" s="3"/>
      <c r="C992" s="3"/>
      <c r="D992" s="3"/>
      <c r="E992" s="3"/>
      <c r="F992" s="3"/>
      <c r="G992" s="3"/>
      <c r="H992" s="3"/>
      <c r="I992" s="3"/>
      <c r="J992" s="3"/>
      <c r="K992" s="3"/>
    </row>
    <row r="993" ht="15.75" customHeight="1">
      <c r="A993" s="3"/>
      <c r="B993" s="3"/>
      <c r="C993" s="3"/>
      <c r="D993" s="3"/>
      <c r="E993" s="3"/>
      <c r="F993" s="3"/>
      <c r="G993" s="3"/>
      <c r="H993" s="3"/>
      <c r="I993" s="3"/>
      <c r="J993" s="3"/>
      <c r="K993" s="3"/>
    </row>
    <row r="994" ht="15.75" customHeight="1">
      <c r="A994" s="3"/>
      <c r="B994" s="3"/>
      <c r="C994" s="3"/>
      <c r="D994" s="3"/>
      <c r="E994" s="3"/>
      <c r="F994" s="3"/>
      <c r="G994" s="3"/>
      <c r="H994" s="3"/>
      <c r="I994" s="3"/>
      <c r="J994" s="3"/>
      <c r="K994" s="3"/>
    </row>
    <row r="995" ht="15.75" customHeight="1">
      <c r="A995" s="3"/>
      <c r="B995" s="3"/>
      <c r="C995" s="3"/>
      <c r="D995" s="3"/>
      <c r="E995" s="3"/>
      <c r="F995" s="3"/>
      <c r="G995" s="3"/>
      <c r="H995" s="3"/>
      <c r="I995" s="3"/>
      <c r="J995" s="3"/>
      <c r="K995" s="3"/>
    </row>
    <row r="996" ht="15.75" customHeight="1">
      <c r="A996" s="3"/>
      <c r="B996" s="3"/>
      <c r="C996" s="3"/>
      <c r="D996" s="3"/>
      <c r="E996" s="3"/>
      <c r="F996" s="3"/>
      <c r="G996" s="3"/>
      <c r="H996" s="3"/>
      <c r="I996" s="3"/>
      <c r="J996" s="3"/>
      <c r="K996" s="3"/>
    </row>
    <row r="997" ht="15.75" customHeight="1">
      <c r="A997" s="3"/>
      <c r="B997" s="3"/>
      <c r="C997" s="3"/>
      <c r="D997" s="3"/>
      <c r="E997" s="3"/>
      <c r="F997" s="3"/>
      <c r="G997" s="3"/>
      <c r="H997" s="3"/>
      <c r="I997" s="3"/>
      <c r="J997" s="3"/>
      <c r="K997" s="3"/>
    </row>
    <row r="998" ht="15.75" customHeight="1">
      <c r="A998" s="3"/>
      <c r="B998" s="3"/>
      <c r="C998" s="3"/>
      <c r="D998" s="3"/>
      <c r="E998" s="3"/>
      <c r="F998" s="3"/>
      <c r="G998" s="3"/>
      <c r="H998" s="3"/>
      <c r="I998" s="3"/>
      <c r="J998" s="3"/>
      <c r="K998" s="3"/>
    </row>
    <row r="999" ht="15.75" customHeight="1">
      <c r="A999" s="3"/>
      <c r="B999" s="3"/>
      <c r="C999" s="3"/>
      <c r="D999" s="3"/>
      <c r="E999" s="3"/>
      <c r="F999" s="3"/>
      <c r="G999" s="3"/>
      <c r="H999" s="3"/>
      <c r="I999" s="3"/>
      <c r="J999" s="3"/>
      <c r="K999" s="3"/>
    </row>
    <row r="1000" ht="15.75" customHeight="1">
      <c r="A1000" s="3"/>
      <c r="B1000" s="3"/>
      <c r="C1000" s="3"/>
      <c r="D1000" s="3"/>
      <c r="E1000" s="3"/>
      <c r="F1000" s="3"/>
      <c r="G1000" s="3"/>
      <c r="H1000" s="3"/>
      <c r="I1000" s="3"/>
      <c r="J1000" s="3"/>
      <c r="K1000" s="3"/>
    </row>
  </sheetData>
  <mergeCells count="28">
    <mergeCell ref="A1:H1"/>
    <mergeCell ref="A2:H2"/>
    <mergeCell ref="A5:A9"/>
    <mergeCell ref="A10:A14"/>
    <mergeCell ref="A15:A19"/>
    <mergeCell ref="A20:A24"/>
    <mergeCell ref="A25:A29"/>
    <mergeCell ref="A30:A34"/>
    <mergeCell ref="A35:A39"/>
    <mergeCell ref="A40:A44"/>
    <mergeCell ref="A45:A49"/>
    <mergeCell ref="A50:A54"/>
    <mergeCell ref="A55:A59"/>
    <mergeCell ref="A60:A64"/>
    <mergeCell ref="A100:A104"/>
    <mergeCell ref="A105:A109"/>
    <mergeCell ref="A110:A114"/>
    <mergeCell ref="A115:A119"/>
    <mergeCell ref="A120:A124"/>
    <mergeCell ref="A125:A129"/>
    <mergeCell ref="A130:A134"/>
    <mergeCell ref="A65:A69"/>
    <mergeCell ref="A70:A74"/>
    <mergeCell ref="A75:A79"/>
    <mergeCell ref="A80:A84"/>
    <mergeCell ref="A85:A89"/>
    <mergeCell ref="A90:A94"/>
    <mergeCell ref="A95:A99"/>
  </mergeCells>
  <conditionalFormatting sqref="B5:E9 F5:F10 G5:I9">
    <cfRule type="expression" dxfId="8" priority="1">
      <formula>$B5&gt;$J5</formula>
    </cfRule>
  </conditionalFormatting>
  <conditionalFormatting sqref="B10:I14">
    <cfRule type="expression" dxfId="8" priority="2">
      <formula>$B10&gt;$J10</formula>
    </cfRule>
  </conditionalFormatting>
  <conditionalFormatting sqref="B15:I19">
    <cfRule type="expression" dxfId="8" priority="3">
      <formula>$B15&gt;$J15</formula>
    </cfRule>
  </conditionalFormatting>
  <conditionalFormatting sqref="B20:I24">
    <cfRule type="expression" dxfId="8" priority="4">
      <formula>$B20&gt;$J20</formula>
    </cfRule>
  </conditionalFormatting>
  <conditionalFormatting sqref="B25:I29">
    <cfRule type="expression" dxfId="8" priority="5">
      <formula>$B25&gt;$J25</formula>
    </cfRule>
  </conditionalFormatting>
  <conditionalFormatting sqref="B30:I34">
    <cfRule type="expression" dxfId="8" priority="6">
      <formula>$B30&gt;$J30</formula>
    </cfRule>
  </conditionalFormatting>
  <conditionalFormatting sqref="B35:I39">
    <cfRule type="expression" dxfId="8" priority="7">
      <formula>$B35&gt;$J35</formula>
    </cfRule>
  </conditionalFormatting>
  <conditionalFormatting sqref="B40:I44">
    <cfRule type="expression" dxfId="8" priority="8">
      <formula>$B40&gt;$J40</formula>
    </cfRule>
  </conditionalFormatting>
  <conditionalFormatting sqref="B45:I49">
    <cfRule type="expression" dxfId="8" priority="9">
      <formula>$B45&gt;$J45</formula>
    </cfRule>
  </conditionalFormatting>
  <conditionalFormatting sqref="B50:I54">
    <cfRule type="expression" dxfId="8" priority="10">
      <formula>$B50&gt;$J50</formula>
    </cfRule>
  </conditionalFormatting>
  <conditionalFormatting sqref="B55:I59">
    <cfRule type="expression" dxfId="8" priority="11">
      <formula>$B55&gt;$J55</formula>
    </cfRule>
  </conditionalFormatting>
  <conditionalFormatting sqref="B60:I64">
    <cfRule type="expression" dxfId="8" priority="12">
      <formula>$B60&gt;$J60</formula>
    </cfRule>
  </conditionalFormatting>
  <conditionalFormatting sqref="B65:I69">
    <cfRule type="expression" dxfId="8" priority="13">
      <formula>$B65&gt;$J65</formula>
    </cfRule>
  </conditionalFormatting>
  <conditionalFormatting sqref="B70:I74">
    <cfRule type="expression" dxfId="8" priority="14">
      <formula>$B70&gt;$J70</formula>
    </cfRule>
  </conditionalFormatting>
  <conditionalFormatting sqref="B75:I79">
    <cfRule type="expression" dxfId="8" priority="15">
      <formula>$B75&gt;$J75</formula>
    </cfRule>
  </conditionalFormatting>
  <conditionalFormatting sqref="B80:I84">
    <cfRule type="expression" dxfId="8" priority="16">
      <formula>$B80&gt;$J80</formula>
    </cfRule>
  </conditionalFormatting>
  <conditionalFormatting sqref="B85:I89">
    <cfRule type="expression" dxfId="8" priority="17">
      <formula>$B85&gt;$J85</formula>
    </cfRule>
  </conditionalFormatting>
  <conditionalFormatting sqref="B90:I94">
    <cfRule type="expression" dxfId="8" priority="18">
      <formula>$B90&gt;$J90</formula>
    </cfRule>
  </conditionalFormatting>
  <conditionalFormatting sqref="B95:I99">
    <cfRule type="expression" dxfId="8" priority="19">
      <formula>$B95&gt;$J95</formula>
    </cfRule>
  </conditionalFormatting>
  <conditionalFormatting sqref="B100:I104">
    <cfRule type="expression" dxfId="8" priority="20">
      <formula>$B100&gt;$J100</formula>
    </cfRule>
  </conditionalFormatting>
  <conditionalFormatting sqref="B105:I109">
    <cfRule type="expression" dxfId="8" priority="21">
      <formula>$B105&gt;$J105</formula>
    </cfRule>
  </conditionalFormatting>
  <conditionalFormatting sqref="B110:E114 F110:F116 G110:I114">
    <cfRule type="expression" dxfId="8" priority="22">
      <formula>$B110&gt;$J110</formula>
    </cfRule>
  </conditionalFormatting>
  <conditionalFormatting sqref="B115:I119">
    <cfRule type="expression" dxfId="8" priority="23">
      <formula>$B115&gt;$J115</formula>
    </cfRule>
  </conditionalFormatting>
  <conditionalFormatting sqref="B120:I124 F131:F134">
    <cfRule type="expression" dxfId="8" priority="24">
      <formula>$B120&gt;$J120</formula>
    </cfRule>
  </conditionalFormatting>
  <conditionalFormatting sqref="B125:I129">
    <cfRule type="expression" dxfId="8" priority="25">
      <formula>$B125&gt;$J125</formula>
    </cfRule>
  </conditionalFormatting>
  <conditionalFormatting sqref="B130:I134">
    <cfRule type="expression" dxfId="8" priority="26">
      <formula>$B130&gt;$J130</formula>
    </cfRule>
  </conditionalFormatting>
  <dataValidations>
    <dataValidation type="list" allowBlank="1" sqref="G5:G134">
      <formula1>"Conventional,Bersasar,Calon Simpanan,Pool of Candidate,Lain-lain"</formula1>
    </dataValidation>
  </dataValidations>
  <printOptions/>
  <pageMargins bottom="1.0" footer="0.0" header="0.0" left="0.75" right="0.75" top="1.0"/>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5.0" ySplit="5.0" topLeftCell="F6" activePane="bottomRight" state="frozen"/>
      <selection activeCell="F1" sqref="F1" pane="topRight"/>
      <selection activeCell="A6" sqref="A6" pane="bottomLeft"/>
      <selection activeCell="F6" sqref="F6" pane="bottomRight"/>
    </sheetView>
  </sheetViews>
  <sheetFormatPr customHeight="1" defaultColWidth="14.43" defaultRowHeight="15.0"/>
  <cols>
    <col customWidth="1" min="1" max="1" width="7.0"/>
    <col customWidth="1" min="2" max="2" width="23.43"/>
    <col customWidth="1" min="3" max="3" width="10.0"/>
    <col customWidth="1" min="4" max="4" width="16.29"/>
    <col customWidth="1" min="5" max="5" width="12.0"/>
    <col customWidth="1" min="6" max="6" width="11.0"/>
    <col customWidth="1" min="7" max="7" width="27.14"/>
    <col customWidth="1" min="8" max="8" width="12.86"/>
    <col customWidth="1" min="9" max="9" width="16.57"/>
    <col customWidth="1" min="10" max="10" width="12.86"/>
    <col customWidth="1" min="11" max="11" width="16.57"/>
    <col customWidth="1" min="12" max="12" width="12.86"/>
    <col customWidth="1" min="13" max="13" width="16.57"/>
    <col customWidth="1" min="14" max="14" width="12.86"/>
    <col customWidth="1" min="15" max="15" width="16.57"/>
    <col customWidth="1" min="16" max="16" width="12.86"/>
    <col customWidth="1" min="17" max="17" width="16.57"/>
    <col customWidth="1" min="18" max="18" width="12.86"/>
    <col customWidth="1" min="19" max="19" width="16.57"/>
    <col customWidth="1" min="20" max="20" width="12.86"/>
    <col customWidth="1" min="21" max="21" width="16.57"/>
    <col customWidth="1" min="22" max="22" width="12.86"/>
    <col customWidth="1" min="23" max="23" width="16.57"/>
    <col customWidth="1" min="24" max="24" width="12.86"/>
    <col customWidth="1" min="25" max="25" width="16.57"/>
    <col customWidth="1" min="26" max="26" width="12.86"/>
    <col customWidth="1" min="27" max="27" width="16.57"/>
    <col customWidth="1" min="28" max="28" width="12.86"/>
    <col customWidth="1" min="29" max="29" width="16.57"/>
    <col customWidth="1" min="30" max="30" width="12.86"/>
    <col customWidth="1" min="31" max="31" width="11.0"/>
    <col customWidth="1" min="32" max="32" width="18.0"/>
    <col customWidth="1" hidden="1" min="33" max="33" width="8.0"/>
  </cols>
  <sheetData>
    <row r="1" ht="19.5" customHeight="1">
      <c r="A1" s="127" t="s">
        <v>112</v>
      </c>
      <c r="G1" s="3"/>
      <c r="H1" s="3"/>
      <c r="I1" s="3"/>
      <c r="J1" s="3"/>
      <c r="K1" s="3"/>
      <c r="L1" s="3"/>
      <c r="M1" s="3"/>
      <c r="N1" s="3"/>
      <c r="O1" s="3"/>
      <c r="P1" s="3"/>
      <c r="Q1" s="3"/>
      <c r="R1" s="3"/>
      <c r="S1" s="3"/>
      <c r="T1" s="3"/>
      <c r="U1" s="3"/>
      <c r="V1" s="3"/>
      <c r="W1" s="3"/>
      <c r="X1" s="3"/>
      <c r="Y1" s="3"/>
      <c r="Z1" s="3"/>
      <c r="AA1" s="3"/>
      <c r="AB1" s="3"/>
      <c r="AC1" s="3"/>
      <c r="AD1" s="3"/>
      <c r="AE1" s="3"/>
      <c r="AF1" s="3"/>
      <c r="AG1" s="3"/>
    </row>
    <row r="2" ht="14.25" customHeight="1">
      <c r="A2" s="128" t="s">
        <v>113</v>
      </c>
      <c r="G2" s="3"/>
      <c r="H2" s="3"/>
      <c r="I2" s="3"/>
      <c r="J2" s="3"/>
      <c r="K2" s="3"/>
      <c r="L2" s="3"/>
      <c r="M2" s="3"/>
      <c r="N2" s="3"/>
      <c r="O2" s="3"/>
      <c r="P2" s="3"/>
      <c r="Q2" s="3"/>
      <c r="R2" s="3"/>
      <c r="S2" s="3"/>
      <c r="T2" s="3"/>
      <c r="U2" s="3"/>
      <c r="V2" s="3"/>
      <c r="W2" s="3"/>
      <c r="X2" s="3"/>
      <c r="Y2" s="3"/>
      <c r="Z2" s="3"/>
      <c r="AA2" s="3"/>
      <c r="AB2" s="3"/>
      <c r="AC2" s="3"/>
      <c r="AD2" s="3"/>
      <c r="AE2" s="3"/>
      <c r="AF2" s="3"/>
      <c r="AG2" s="3"/>
    </row>
    <row r="3" ht="31.5" customHeight="1">
      <c r="A3" s="129" t="s">
        <v>114</v>
      </c>
      <c r="B3" s="11"/>
      <c r="C3" s="11"/>
      <c r="D3" s="11"/>
      <c r="E3" s="11"/>
      <c r="F3" s="11"/>
      <c r="G3" s="12"/>
      <c r="H3" s="130" t="s">
        <v>115</v>
      </c>
      <c r="I3" s="131"/>
      <c r="J3" s="130" t="s">
        <v>116</v>
      </c>
      <c r="K3" s="131"/>
      <c r="L3" s="130" t="s">
        <v>117</v>
      </c>
      <c r="M3" s="131"/>
      <c r="N3" s="130" t="s">
        <v>118</v>
      </c>
      <c r="O3" s="131"/>
      <c r="P3" s="130" t="s">
        <v>119</v>
      </c>
      <c r="Q3" s="131"/>
      <c r="R3" s="130" t="s">
        <v>120</v>
      </c>
      <c r="S3" s="131"/>
      <c r="T3" s="130" t="s">
        <v>121</v>
      </c>
      <c r="U3" s="131"/>
      <c r="V3" s="130" t="s">
        <v>122</v>
      </c>
      <c r="W3" s="131"/>
      <c r="X3" s="130" t="s">
        <v>123</v>
      </c>
      <c r="Y3" s="131"/>
      <c r="Z3" s="130" t="s">
        <v>124</v>
      </c>
      <c r="AA3" s="131"/>
      <c r="AB3" s="130" t="s">
        <v>125</v>
      </c>
      <c r="AC3" s="131"/>
      <c r="AD3" s="130" t="s">
        <v>126</v>
      </c>
      <c r="AE3" s="131"/>
      <c r="AF3" s="132" t="s">
        <v>127</v>
      </c>
      <c r="AG3" s="3"/>
    </row>
    <row r="4" ht="30.0" customHeight="1">
      <c r="A4" s="133" t="s">
        <v>128</v>
      </c>
      <c r="B4" s="133" t="s">
        <v>129</v>
      </c>
      <c r="C4" s="133" t="s">
        <v>95</v>
      </c>
      <c r="D4" s="25" t="s">
        <v>130</v>
      </c>
      <c r="E4" s="133" t="s">
        <v>131</v>
      </c>
      <c r="F4" s="133" t="s">
        <v>132</v>
      </c>
      <c r="G4" s="134" t="s">
        <v>133</v>
      </c>
      <c r="H4" s="135"/>
      <c r="I4" s="136"/>
      <c r="J4" s="135"/>
      <c r="K4" s="136"/>
      <c r="L4" s="135"/>
      <c r="M4" s="136"/>
      <c r="N4" s="135"/>
      <c r="O4" s="136"/>
      <c r="P4" s="135"/>
      <c r="Q4" s="136"/>
      <c r="R4" s="135"/>
      <c r="S4" s="136"/>
      <c r="T4" s="135"/>
      <c r="U4" s="136"/>
      <c r="V4" s="135"/>
      <c r="W4" s="136"/>
      <c r="X4" s="135"/>
      <c r="Y4" s="136"/>
      <c r="Z4" s="135"/>
      <c r="AA4" s="136"/>
      <c r="AB4" s="135"/>
      <c r="AC4" s="136"/>
      <c r="AD4" s="135"/>
      <c r="AE4" s="136"/>
      <c r="AF4" s="137"/>
      <c r="AG4" s="3"/>
    </row>
    <row r="5" ht="48.75" customHeight="1">
      <c r="A5" s="41"/>
      <c r="B5" s="41"/>
      <c r="C5" s="41"/>
      <c r="D5" s="41"/>
      <c r="E5" s="41"/>
      <c r="F5" s="41"/>
      <c r="G5" s="138"/>
      <c r="H5" s="139" t="s">
        <v>134</v>
      </c>
      <c r="I5" s="139" t="s">
        <v>135</v>
      </c>
      <c r="J5" s="139" t="s">
        <v>134</v>
      </c>
      <c r="K5" s="139" t="s">
        <v>135</v>
      </c>
      <c r="L5" s="139" t="s">
        <v>134</v>
      </c>
      <c r="M5" s="139" t="s">
        <v>135</v>
      </c>
      <c r="N5" s="139" t="s">
        <v>134</v>
      </c>
      <c r="O5" s="139" t="s">
        <v>135</v>
      </c>
      <c r="P5" s="139" t="s">
        <v>134</v>
      </c>
      <c r="Q5" s="139" t="s">
        <v>135</v>
      </c>
      <c r="R5" s="139" t="s">
        <v>134</v>
      </c>
      <c r="S5" s="139" t="s">
        <v>135</v>
      </c>
      <c r="T5" s="139" t="s">
        <v>134</v>
      </c>
      <c r="U5" s="139" t="s">
        <v>135</v>
      </c>
      <c r="V5" s="139" t="s">
        <v>134</v>
      </c>
      <c r="W5" s="139" t="s">
        <v>135</v>
      </c>
      <c r="X5" s="139" t="s">
        <v>134</v>
      </c>
      <c r="Y5" s="139" t="s">
        <v>135</v>
      </c>
      <c r="Z5" s="139" t="s">
        <v>134</v>
      </c>
      <c r="AA5" s="139" t="s">
        <v>135</v>
      </c>
      <c r="AB5" s="139" t="s">
        <v>134</v>
      </c>
      <c r="AC5" s="139" t="s">
        <v>135</v>
      </c>
      <c r="AD5" s="139" t="s">
        <v>134</v>
      </c>
      <c r="AE5" s="139" t="s">
        <v>135</v>
      </c>
      <c r="AF5" s="140"/>
      <c r="AG5" s="3"/>
    </row>
    <row r="6" ht="24.0" customHeight="1">
      <c r="A6" s="116">
        <f>IFERROR(IF(ISNUMBER(LARGE(Strategi!$K$5:$K$134,1)),1,""),"")</f>
        <v>1</v>
      </c>
      <c r="B6" s="64" t="str">
        <f t="array" ref="B6">IFERROR(INDEX(Strategi!$C$5:$C$134,MATCH(LARGE(Strategi!$K$5:$K$134,1),Strategi!$K$5:$K$134,0)),"")</f>
        <v>Pegawai Perubatan</v>
      </c>
      <c r="C6" s="64" t="str">
        <f t="array" ref="C6">IFERROR(INDEX(Strategi!$D$5:$D$134,MATCH(LARGE(Strategi!$K$5:$K$134,1),Strategi!$K$5:$K$134,0)),"")</f>
        <v>UD15</v>
      </c>
      <c r="D6" s="83" t="str">
        <f t="array" ref="D6">IFERROR(IF(INDEX(Strategi!$G$5:$G$134,MATCH(LARGE(Strategi!$K$5:$K$134,1),Strategi!$K$5:$K$134,0))="","","("&amp;COUNTIFS($B$6:$B6,$B6,$C$6:$C6,$C6)&amp;") "&amp;INDEX(Strategi!$G$5:$G$134,MATCH(LARGE(Strategi!$K$5:$K$134,1),Strategi!$K$5:$K$134,0))),"")</f>
        <v>(1) Conventional</v>
      </c>
      <c r="E6" s="64" t="str">
        <f t="array" ref="E6">IFERROR(INDEX(Strategi!$E$5:$E$134,MATCH(LARGE(Strategi!$K$5:$K$134,1),Strategi!$K$5:$K$134,0)),"")</f>
        <v>TINGGI</v>
      </c>
      <c r="F6" s="141">
        <f t="shared" ref="F6:F30" si="1">IFERROR(IF(COUNT(H6,J6,L6,N6,P6,R6,T6,V6,X6,Z6,AB6,AD6)=0,"",COUNT(I6,K6,M6,O6,Q6,S6,U6,W6,Y6,AA6,AC6,AE6)/COUNT(H6,J6,L6,N6,P6,R6,T6,V6,X6,Z6,AB6,AD6)),"")</f>
        <v>0</v>
      </c>
      <c r="G6" s="142" t="str">
        <f t="shared" ref="G6:G30" si="2">IFERROR(IF(ISNUMBER(AE6),$AD$3,IF(ISNUMBER(AC6),$AB$3,IF(ISNUMBER(AA6),$Z$3,IF(ISNUMBER(Y6),$X$3,IF(ISNUMBER(W6),$V$3,IF(ISNUMBER(U6),$T$3,IF(ISNUMBER(S6),$R$3,IF(ISNUMBER(Q6),$P$3,IF(ISNUMBER(O6),$N$3,IF(ISNUMBER(M6),$L$3,IF(ISNUMBER(K6),$J$3,IF(ISNUMBER(I6),$H$3,"")))))))))))),"")</f>
        <v/>
      </c>
      <c r="H6" s="143">
        <v>46188.0</v>
      </c>
      <c r="I6" s="144"/>
      <c r="J6" s="143"/>
      <c r="K6" s="144"/>
      <c r="L6" s="143"/>
      <c r="M6" s="144"/>
      <c r="N6" s="143"/>
      <c r="O6" s="144"/>
      <c r="P6" s="143"/>
      <c r="Q6" s="144"/>
      <c r="R6" s="143"/>
      <c r="S6" s="144"/>
      <c r="T6" s="143"/>
      <c r="U6" s="144"/>
      <c r="V6" s="143"/>
      <c r="W6" s="144"/>
      <c r="X6" s="143"/>
      <c r="Y6" s="144"/>
      <c r="Z6" s="143"/>
      <c r="AA6" s="144"/>
      <c r="AB6" s="143"/>
      <c r="AC6" s="144"/>
      <c r="AD6" s="143"/>
      <c r="AE6" s="144"/>
      <c r="AF6" s="64">
        <f t="array" ref="AF6">IFERROR(INDEX(Strategi!$H$5:$H$134,MATCH(LARGE(Strategi!$K$5:$K$134,1),Strategi!$K$5:$K$134,0)),"")</f>
        <v>2</v>
      </c>
      <c r="AG6" s="3" t="str">
        <f>IFERROR(MATCH(LARGE('Data &amp; Matriks'!$Z$11:$Z$36*10000-ROW('Data &amp; Matriks'!$Z$11:$Z$36),1),'Data &amp; Matriks'!$Z$11:$Z$36*10000-ROW('Data &amp; Matriks'!$Z$11:$Z$36),0),"")</f>
        <v/>
      </c>
    </row>
    <row r="7" ht="24.0" customHeight="1">
      <c r="A7" s="116">
        <f>IFERROR(IF(ISNUMBER(LARGE(Strategi!$K$5:$K$134,2)),2,""),"")</f>
        <v>2</v>
      </c>
      <c r="B7" s="64" t="str">
        <f t="array" ref="B7">IFERROR(INDEX(Strategi!$C$5:$C$134,MATCH(LARGE(Strategi!$K$5:$K$134,2),Strategi!$K$5:$K$134,0)),"")</f>
        <v>Pegawai Perubatan</v>
      </c>
      <c r="C7" s="64" t="str">
        <f t="array" ref="C7">IFERROR(INDEX(Strategi!$D$5:$D$134,MATCH(LARGE(Strategi!$K$5:$K$134,2),Strategi!$K$5:$K$134,0)),"")</f>
        <v>UD10</v>
      </c>
      <c r="D7" s="83" t="str">
        <f t="array" ref="D7">IFERROR(IF(INDEX(Strategi!$G$5:$G$134,MATCH(LARGE(Strategi!$K$5:$K$134,2),Strategi!$K$5:$K$134,0))="","","("&amp;COUNTIFS($B$6:$B7,$B7,$C$6:$C7,$C7)&amp;") "&amp;INDEX(Strategi!$G$5:$G$134,MATCH(LARGE(Strategi!$K$5:$K$134,2),Strategi!$K$5:$K$134,0))),"")</f>
        <v>(1) Calon Simpanan</v>
      </c>
      <c r="E7" s="64" t="str">
        <f t="array" ref="E7">IFERROR(INDEX(Strategi!$E$5:$E$134,MATCH(LARGE(Strategi!$K$5:$K$134,2),Strategi!$K$5:$K$134,0)),"")</f>
        <v>TINGGI</v>
      </c>
      <c r="F7" s="141">
        <f t="shared" si="1"/>
        <v>0</v>
      </c>
      <c r="G7" s="142" t="str">
        <f t="shared" si="2"/>
        <v/>
      </c>
      <c r="H7" s="145">
        <v>46204.0</v>
      </c>
      <c r="I7" s="144"/>
      <c r="J7" s="143"/>
      <c r="K7" s="144"/>
      <c r="L7" s="143">
        <v>46330.0</v>
      </c>
      <c r="M7" s="144"/>
      <c r="N7" s="143">
        <v>46344.0</v>
      </c>
      <c r="O7" s="144"/>
      <c r="P7" s="143">
        <v>46345.0</v>
      </c>
      <c r="Q7" s="144"/>
      <c r="R7" s="143"/>
      <c r="S7" s="144"/>
      <c r="T7" s="143"/>
      <c r="U7" s="144"/>
      <c r="V7" s="143"/>
      <c r="W7" s="144"/>
      <c r="X7" s="143"/>
      <c r="Y7" s="144"/>
      <c r="Z7" s="143">
        <v>46379.0</v>
      </c>
      <c r="AA7" s="144"/>
      <c r="AB7" s="143">
        <v>46398.0</v>
      </c>
      <c r="AC7" s="144"/>
      <c r="AD7" s="143">
        <v>46401.0</v>
      </c>
      <c r="AE7" s="144"/>
      <c r="AF7" s="64">
        <f t="array" ref="AF7">IFERROR(INDEX(Strategi!$H$5:$H$134,MATCH(LARGE(Strategi!$K$5:$K$134,2),Strategi!$K$5:$K$134,0)),"")</f>
        <v>1455</v>
      </c>
      <c r="AG7" s="3" t="str">
        <f>IFERROR(MATCH(LARGE('Data &amp; Matriks'!$Z$11:$Z$36*10000-ROW('Data &amp; Matriks'!$Z$11:$Z$36),2),'Data &amp; Matriks'!$Z$11:$Z$36*10000-ROW('Data &amp; Matriks'!$Z$11:$Z$36),0),"")</f>
        <v/>
      </c>
    </row>
    <row r="8" ht="24.0" customHeight="1">
      <c r="A8" s="116">
        <f>IFERROR(IF(ISNUMBER(LARGE(Strategi!$K$5:$K$134,3)),3,""),"")</f>
        <v>3</v>
      </c>
      <c r="B8" s="64" t="str">
        <f t="array" ref="B8">IFERROR(INDEX(Strategi!$C$5:$C$134,MATCH(LARGE(Strategi!$K$5:$K$134,3),Strategi!$K$5:$K$134,0)),"")</f>
        <v>Pegawai Perubatan</v>
      </c>
      <c r="C8" s="64" t="str">
        <f t="array" ref="C8">IFERROR(INDEX(Strategi!$D$5:$D$134,MATCH(LARGE(Strategi!$K$5:$K$134,3),Strategi!$K$5:$K$134,0)),"")</f>
        <v>UD10</v>
      </c>
      <c r="D8" s="83" t="str">
        <f t="array" ref="D8">IFERROR(IF(INDEX(Strategi!$G$5:$G$134,MATCH(LARGE(Strategi!$K$5:$K$134,3),Strategi!$K$5:$K$134,0))="","","("&amp;COUNTIFS($B$6:$B8,$B8,$C$6:$C8,$C8)&amp;") "&amp;INDEX(Strategi!$G$5:$G$134,MATCH(LARGE(Strategi!$K$5:$K$134,3),Strategi!$K$5:$K$134,0))),"")</f>
        <v>(2) Bersasar</v>
      </c>
      <c r="E8" s="64" t="str">
        <f t="array" ref="E8">IFERROR(INDEX(Strategi!$E$5:$E$134,MATCH(LARGE(Strategi!$K$5:$K$134,3),Strategi!$K$5:$K$134,0)),"")</f>
        <v>TINGGI</v>
      </c>
      <c r="F8" s="141">
        <f t="shared" si="1"/>
        <v>0</v>
      </c>
      <c r="G8" s="142" t="str">
        <f t="shared" si="2"/>
        <v/>
      </c>
      <c r="H8" s="143">
        <v>46328.0</v>
      </c>
      <c r="I8" s="144"/>
      <c r="J8" s="143"/>
      <c r="K8" s="144"/>
      <c r="L8" s="143">
        <v>46330.0</v>
      </c>
      <c r="M8" s="144"/>
      <c r="N8" s="143">
        <v>46344.0</v>
      </c>
      <c r="O8" s="144"/>
      <c r="P8" s="143">
        <v>46345.0</v>
      </c>
      <c r="Q8" s="144"/>
      <c r="R8" s="143"/>
      <c r="S8" s="144"/>
      <c r="T8" s="143"/>
      <c r="U8" s="144"/>
      <c r="V8" s="143"/>
      <c r="W8" s="144"/>
      <c r="X8" s="143"/>
      <c r="Y8" s="144"/>
      <c r="Z8" s="143">
        <v>46379.0</v>
      </c>
      <c r="AA8" s="144"/>
      <c r="AB8" s="143">
        <v>46398.0</v>
      </c>
      <c r="AC8" s="144"/>
      <c r="AD8" s="143">
        <v>46401.0</v>
      </c>
      <c r="AE8" s="144"/>
      <c r="AF8" s="64">
        <f t="array" ref="AF8">IFERROR(INDEX(Strategi!$H$5:$H$134,MATCH(LARGE(Strategi!$K$5:$K$134,3),Strategi!$K$5:$K$134,0)),"")</f>
        <v>306</v>
      </c>
      <c r="AG8" s="3" t="str">
        <f>IFERROR(MATCH(LARGE('Data &amp; Matriks'!$Z$11:$Z$36*10000-ROW('Data &amp; Matriks'!$Z$11:$Z$36),3),'Data &amp; Matriks'!$Z$11:$Z$36*10000-ROW('Data &amp; Matriks'!$Z$11:$Z$36),0),"")</f>
        <v/>
      </c>
    </row>
    <row r="9" ht="24.0" customHeight="1">
      <c r="A9" s="116">
        <f>IFERROR(IF(ISNUMBER(LARGE(Strategi!$K$5:$K$134,4)),4,""),"")</f>
        <v>4</v>
      </c>
      <c r="B9" s="64" t="str">
        <f t="array" ref="B9">IFERROR(INDEX(Strategi!$C$5:$C$134,MATCH(LARGE(Strategi!$K$5:$K$134,4),Strategi!$K$5:$K$134,0)),"")</f>
        <v>Pegawai Pergigian</v>
      </c>
      <c r="C9" s="64" t="str">
        <f t="array" ref="C9">IFERROR(INDEX(Strategi!$D$5:$D$134,MATCH(LARGE(Strategi!$K$5:$K$134,4),Strategi!$K$5:$K$134,0)),"")</f>
        <v>UG10</v>
      </c>
      <c r="D9" s="83" t="str">
        <f t="array" ref="D9">IFERROR(IF(INDEX(Strategi!$G$5:$G$134,MATCH(LARGE(Strategi!$K$5:$K$134,4),Strategi!$K$5:$K$134,0))="","","("&amp;COUNTIFS($B$6:$B9,$B9,$C$6:$C9,$C9)&amp;") "&amp;INDEX(Strategi!$G$5:$G$134,MATCH(LARGE(Strategi!$K$5:$K$134,4),Strategi!$K$5:$K$134,0))),"")</f>
        <v>(1) Bersasar</v>
      </c>
      <c r="E9" s="64" t="str">
        <f t="array" ref="E9">IFERROR(INDEX(Strategi!$E$5:$E$134,MATCH(LARGE(Strategi!$K$5:$K$134,4),Strategi!$K$5:$K$134,0)),"")</f>
        <v>TINGGI</v>
      </c>
      <c r="F9" s="141">
        <f t="shared" si="1"/>
        <v>0</v>
      </c>
      <c r="G9" s="142" t="str">
        <f t="shared" si="2"/>
        <v/>
      </c>
      <c r="H9" s="143">
        <v>46328.0</v>
      </c>
      <c r="I9" s="144"/>
      <c r="J9" s="143"/>
      <c r="K9" s="144"/>
      <c r="L9" s="143">
        <v>46330.0</v>
      </c>
      <c r="M9" s="144"/>
      <c r="N9" s="143">
        <v>46344.0</v>
      </c>
      <c r="O9" s="144"/>
      <c r="P9" s="143">
        <v>46345.0</v>
      </c>
      <c r="Q9" s="144"/>
      <c r="R9" s="143"/>
      <c r="S9" s="144"/>
      <c r="T9" s="143"/>
      <c r="U9" s="144"/>
      <c r="V9" s="143"/>
      <c r="W9" s="144"/>
      <c r="X9" s="143"/>
      <c r="Y9" s="144"/>
      <c r="Z9" s="143">
        <v>46379.0</v>
      </c>
      <c r="AA9" s="144"/>
      <c r="AB9" s="143">
        <v>46398.0</v>
      </c>
      <c r="AC9" s="144"/>
      <c r="AD9" s="143">
        <v>46401.0</v>
      </c>
      <c r="AE9" s="144"/>
      <c r="AF9" s="64">
        <f t="array" ref="AF9">IFERROR(INDEX(Strategi!$H$5:$H$134,MATCH(LARGE(Strategi!$K$5:$K$134,4),Strategi!$K$5:$K$134,0)),"")</f>
        <v>500</v>
      </c>
      <c r="AG9" s="3" t="str">
        <f>IFERROR(MATCH(LARGE('Data &amp; Matriks'!$Z$11:$Z$36*10000-ROW('Data &amp; Matriks'!$Z$11:$Z$36),4),'Data &amp; Matriks'!$Z$11:$Z$36*10000-ROW('Data &amp; Matriks'!$Z$11:$Z$36),0),"")</f>
        <v/>
      </c>
    </row>
    <row r="10" ht="24.0" customHeight="1">
      <c r="A10" s="116">
        <v>5.0</v>
      </c>
      <c r="B10" s="64" t="str">
        <f t="array" ref="B10">IFERROR(INDEX(Strategi!$C$5:$C$134,MATCH(LARGE(Strategi!$K$5:$K$134,5),Strategi!$K$5:$K$134,0)),"")</f>
        <v>Pegawai Kesihatan Persekitaran </v>
      </c>
      <c r="C10" s="64" t="str">
        <f t="array" ref="C10">IFERROR(INDEX(Strategi!$D$5:$D$134,MATCH(LARGE(Strategi!$K$5:$K$134,5),Strategi!$K$5:$K$134,0)),"")</f>
        <v>U9</v>
      </c>
      <c r="D10" s="83" t="str">
        <f t="array" ref="D10">IFERROR(IF(INDEX(Strategi!$G$5:$G$134,MATCH(LARGE(Strategi!$K$5:$K$134,5),Strategi!$K$5:$K$134,0))="","","("&amp;COUNTIFS($B$6:$B10,$B10,$C$6:$C10,$C10)&amp;") "&amp;INDEX(Strategi!$G$5:$G$134,MATCH(LARGE(Strategi!$K$5:$K$134,5),Strategi!$K$5:$K$134,0))),"")</f>
        <v>(1) Calon Simpanan</v>
      </c>
      <c r="E10" s="64" t="str">
        <f t="array" ref="E10">IFERROR(INDEX(Strategi!$E$5:$E$134,MATCH(LARGE(Strategi!$K$5:$K$134,5),Strategi!$K$5:$K$134,0)),"")</f>
        <v>TINGGI</v>
      </c>
      <c r="F10" s="141">
        <f t="shared" si="1"/>
        <v>0</v>
      </c>
      <c r="G10" s="142" t="str">
        <f t="shared" si="2"/>
        <v/>
      </c>
      <c r="H10" s="143"/>
      <c r="I10" s="144"/>
      <c r="J10" s="143"/>
      <c r="K10" s="144"/>
      <c r="L10" s="143"/>
      <c r="M10" s="144"/>
      <c r="N10" s="143"/>
      <c r="O10" s="144"/>
      <c r="P10" s="143"/>
      <c r="Q10" s="144"/>
      <c r="R10" s="143"/>
      <c r="S10" s="144"/>
      <c r="T10" s="143"/>
      <c r="U10" s="144"/>
      <c r="V10" s="143"/>
      <c r="W10" s="144"/>
      <c r="X10" s="143"/>
      <c r="Y10" s="144"/>
      <c r="Z10" s="143">
        <v>46181.0</v>
      </c>
      <c r="AA10" s="144"/>
      <c r="AB10" s="143">
        <v>46188.0</v>
      </c>
      <c r="AC10" s="144"/>
      <c r="AD10" s="143">
        <v>46191.0</v>
      </c>
      <c r="AE10" s="144"/>
      <c r="AF10" s="64">
        <f t="array" ref="AF10">IFERROR(INDEX(Strategi!$H$5:$H$134,MATCH(LARGE(Strategi!$K$5:$K$134,5),Strategi!$K$5:$K$134,0)),"")</f>
        <v>4</v>
      </c>
      <c r="AG10" s="3" t="str">
        <f>IFERROR(MATCH(LARGE('Data &amp; Matriks'!$Z$11:$Z$36*10000-ROW('Data &amp; Matriks'!$Z$11:$Z$36),5),'Data &amp; Matriks'!$Z$11:$Z$36*10000-ROW('Data &amp; Matriks'!$Z$11:$Z$36),0),"")</f>
        <v/>
      </c>
    </row>
    <row r="11" ht="24.0" customHeight="1">
      <c r="A11" s="116">
        <f>IFERROR(IF(ISNUMBER(LARGE(Strategi!$K$5:$K$134,6)),6,""),"")</f>
        <v>6</v>
      </c>
      <c r="B11" s="64" t="str">
        <f t="array" ref="B11">IFERROR(INDEX(Strategi!$C$5:$C$134,MATCH(LARGE(Strategi!$K$5:$K$134,6),Strategi!$K$5:$K$134,0)),"")</f>
        <v>Pegawai Perubatan</v>
      </c>
      <c r="C11" s="64" t="str">
        <f t="array" ref="C11">IFERROR(INDEX(Strategi!$D$5:$D$134,MATCH(LARGE(Strategi!$K$5:$K$134,6),Strategi!$K$5:$K$134,0)),"")</f>
        <v>UD13</v>
      </c>
      <c r="D11" s="83" t="str">
        <f t="array" ref="D11">IFERROR(IF(INDEX(Strategi!$G$5:$G$134,MATCH(LARGE(Strategi!$K$5:$K$134,6),Strategi!$K$5:$K$134,0))="","","("&amp;COUNTIFS($B$6:$B11,$B11,$C$6:$C11,$C11)&amp;") "&amp;INDEX(Strategi!$G$5:$G$134,MATCH(LARGE(Strategi!$K$5:$K$134,6),Strategi!$K$5:$K$134,0))),"")</f>
        <v>(1) Conventional</v>
      </c>
      <c r="E11" s="64" t="str">
        <f t="array" ref="E11">IFERROR(INDEX(Strategi!$E$5:$E$134,MATCH(LARGE(Strategi!$K$5:$K$134,6),Strategi!$K$5:$K$134,0)),"")</f>
        <v>SEDERHANA</v>
      </c>
      <c r="F11" s="141">
        <f t="shared" si="1"/>
        <v>0</v>
      </c>
      <c r="G11" s="142" t="str">
        <f t="shared" si="2"/>
        <v/>
      </c>
      <c r="H11" s="143"/>
      <c r="I11" s="144"/>
      <c r="J11" s="143"/>
      <c r="K11" s="144"/>
      <c r="L11" s="143"/>
      <c r="M11" s="144"/>
      <c r="N11" s="143"/>
      <c r="O11" s="144"/>
      <c r="P11" s="143"/>
      <c r="Q11" s="144"/>
      <c r="R11" s="143"/>
      <c r="S11" s="144"/>
      <c r="T11" s="143"/>
      <c r="U11" s="144"/>
      <c r="V11" s="143"/>
      <c r="W11" s="144"/>
      <c r="X11" s="143"/>
      <c r="Y11" s="144"/>
      <c r="Z11" s="143">
        <v>46181.0</v>
      </c>
      <c r="AA11" s="144"/>
      <c r="AB11" s="143">
        <v>46188.0</v>
      </c>
      <c r="AC11" s="144"/>
      <c r="AD11" s="143">
        <v>46191.0</v>
      </c>
      <c r="AE11" s="144"/>
      <c r="AF11" s="64">
        <f t="array" ref="AF11">IFERROR(INDEX(Strategi!$H$5:$H$134,MATCH(LARGE(Strategi!$K$5:$K$134,7),Strategi!$K$5:$K$134,0)),"")</f>
        <v>65</v>
      </c>
      <c r="AG11" s="3" t="str">
        <f>IFERROR(MATCH(LARGE('Data &amp; Matriks'!$Z$11:$Z$36*10000-ROW('Data &amp; Matriks'!$Z$11:$Z$36),6),'Data &amp; Matriks'!$Z$11:$Z$36*10000-ROW('Data &amp; Matriks'!$Z$11:$Z$36),0),"")</f>
        <v/>
      </c>
    </row>
    <row r="12" ht="24.0" customHeight="1">
      <c r="A12" s="116">
        <f>IFERROR(IF(ISNUMBER(LARGE(Strategi!$K$5:$K$134,7)),7,""),"")</f>
        <v>7</v>
      </c>
      <c r="B12" s="64" t="str">
        <f t="array" ref="B12">IFERROR(INDEX(Strategi!$C$5:$C$134,MATCH(LARGE(Strategi!$K$5:$K$134,7),Strategi!$K$5:$K$134,0)),"")</f>
        <v>Pegawai Pemulihan Perubatan (Pertuturan)</v>
      </c>
      <c r="C12" s="64" t="str">
        <f t="array" ref="C12">IFERROR(INDEX(Strategi!$D$5:$D$134,MATCH(LARGE(Strategi!$K$5:$K$134,7),Strategi!$K$5:$K$134,0)),"")</f>
        <v>U9</v>
      </c>
      <c r="D12" s="83" t="str">
        <f t="array" ref="D12">IFERROR(IF(INDEX(Strategi!$G$5:$G$134,MATCH(LARGE(Strategi!$K$5:$K$134,7),Strategi!$K$5:$K$134,0))="","","("&amp;COUNTIFS($B$6:$B12,$B12,$C$6:$C12,$C12)&amp;") "&amp;INDEX(Strategi!$G$5:$G$134,MATCH(LARGE(Strategi!$K$5:$K$134,7),Strategi!$K$5:$K$134,0))),"")</f>
        <v>(1) Conventional</v>
      </c>
      <c r="E12" s="64" t="str">
        <f t="array" ref="E12">IFERROR(INDEX(Strategi!$E$5:$E$134,MATCH(LARGE(Strategi!$K$5:$K$134,7),Strategi!$K$5:$K$134,0)),"")</f>
        <v>SEDERHANA</v>
      </c>
      <c r="F12" s="141">
        <f t="shared" si="1"/>
        <v>0</v>
      </c>
      <c r="G12" s="142" t="str">
        <f t="shared" si="2"/>
        <v/>
      </c>
      <c r="H12" s="143"/>
      <c r="I12" s="144"/>
      <c r="J12" s="143"/>
      <c r="K12" s="144"/>
      <c r="L12" s="143"/>
      <c r="M12" s="144"/>
      <c r="N12" s="143"/>
      <c r="O12" s="144"/>
      <c r="P12" s="143"/>
      <c r="Q12" s="144"/>
      <c r="R12" s="143"/>
      <c r="S12" s="144"/>
      <c r="T12" s="143"/>
      <c r="U12" s="144"/>
      <c r="V12" s="143"/>
      <c r="W12" s="144"/>
      <c r="X12" s="143"/>
      <c r="Y12" s="144"/>
      <c r="Z12" s="143">
        <v>46181.0</v>
      </c>
      <c r="AA12" s="144"/>
      <c r="AB12" s="143">
        <v>46188.0</v>
      </c>
      <c r="AC12" s="144"/>
      <c r="AD12" s="143">
        <v>46191.0</v>
      </c>
      <c r="AE12" s="144"/>
      <c r="AF12" s="64">
        <f t="array" ref="AF12">IFERROR(INDEX(Strategi!$H$5:$H$134,MATCH(LARGE(Strategi!$K$5:$K$134,7),Strategi!$K$5:$K$134,0)),"")</f>
        <v>65</v>
      </c>
      <c r="AG12" s="3" t="str">
        <f>IFERROR(MATCH(LARGE('Data &amp; Matriks'!$Z$11:$Z$36*10000-ROW('Data &amp; Matriks'!$Z$11:$Z$36),7),'Data &amp; Matriks'!$Z$11:$Z$36*10000-ROW('Data &amp; Matriks'!$Z$11:$Z$36),0),"")</f>
        <v/>
      </c>
    </row>
    <row r="13" ht="24.0" customHeight="1">
      <c r="A13" s="116">
        <f>IFERROR(IF(ISNUMBER(LARGE(Strategi!$K$5:$K$134,8)),8,""),"")</f>
        <v>8</v>
      </c>
      <c r="B13" s="64" t="str">
        <f t="array" ref="B13">IFERROR(INDEX(Strategi!$C$5:$C$134,MATCH(LARGE(Strategi!$K$5:$K$134,8),Strategi!$K$5:$K$134,0)),"")</f>
        <v>Pegawai Pemulihan Perubatan (Fisioterapi)</v>
      </c>
      <c r="C13" s="64" t="str">
        <f t="array" ref="C13">IFERROR(INDEX(Strategi!$D$5:$D$134,MATCH(LARGE(Strategi!$K$5:$K$134,8),Strategi!$K$5:$K$134,0)),"")</f>
        <v>U9</v>
      </c>
      <c r="D13" s="83" t="str">
        <f t="array" ref="D13">IFERROR(IF(INDEX(Strategi!$G$5:$G$134,MATCH(LARGE(Strategi!$K$5:$K$134,8),Strategi!$K$5:$K$134,0))="","","("&amp;COUNTIFS($B$6:$B13,$B13,$C$6:$C13,$C13)&amp;") "&amp;INDEX(Strategi!$G$5:$G$134,MATCH(LARGE(Strategi!$K$5:$K$134,8),Strategi!$K$5:$K$134,0))),"")</f>
        <v>(1) Conventional</v>
      </c>
      <c r="E13" s="64" t="str">
        <f t="array" ref="E13">IFERROR(INDEX(Strategi!$E$5:$E$134,MATCH(LARGE(Strategi!$K$5:$K$134,8),Strategi!$K$5:$K$134,0)),"")</f>
        <v>SEDERHANA</v>
      </c>
      <c r="F13" s="141">
        <f t="shared" si="1"/>
        <v>0</v>
      </c>
      <c r="G13" s="142" t="str">
        <f t="shared" si="2"/>
        <v/>
      </c>
      <c r="H13" s="143"/>
      <c r="I13" s="144"/>
      <c r="J13" s="143"/>
      <c r="K13" s="144"/>
      <c r="L13" s="143"/>
      <c r="M13" s="144"/>
      <c r="N13" s="143"/>
      <c r="O13" s="144"/>
      <c r="P13" s="143"/>
      <c r="Q13" s="144"/>
      <c r="R13" s="143"/>
      <c r="S13" s="144"/>
      <c r="T13" s="143"/>
      <c r="U13" s="144"/>
      <c r="V13" s="143"/>
      <c r="W13" s="144"/>
      <c r="X13" s="143"/>
      <c r="Y13" s="144"/>
      <c r="Z13" s="143">
        <v>46181.0</v>
      </c>
      <c r="AA13" s="144"/>
      <c r="AB13" s="143">
        <v>46188.0</v>
      </c>
      <c r="AC13" s="144"/>
      <c r="AD13" s="143">
        <v>46191.0</v>
      </c>
      <c r="AE13" s="144"/>
      <c r="AF13" s="64">
        <f t="array" ref="AF13">IFERROR(INDEX(Strategi!$H$5:$H$134,MATCH(LARGE(Strategi!$K$5:$K$134,7),Strategi!$K$5:$K$134,0)),"")</f>
        <v>65</v>
      </c>
      <c r="AG13" s="3" t="str">
        <f>IFERROR(MATCH(LARGE('Data &amp; Matriks'!$Z$11:$Z$36*10000-ROW('Data &amp; Matriks'!$Z$11:$Z$36),8),'Data &amp; Matriks'!$Z$11:$Z$36*10000-ROW('Data &amp; Matriks'!$Z$11:$Z$36),0),"")</f>
        <v/>
      </c>
    </row>
    <row r="14" ht="24.0" customHeight="1">
      <c r="A14" s="116">
        <f>IFERROR(IF(ISNUMBER(LARGE(Strategi!$K$5:$K$134,9)),9,""),"")</f>
        <v>9</v>
      </c>
      <c r="B14" s="64" t="str">
        <f t="array" ref="B14">IFERROR(INDEX(Strategi!$C$5:$C$134,MATCH(LARGE(Strategi!$K$5:$K$134,9),Strategi!$K$5:$K$134,0)),"")</f>
        <v>Pegawai Pemulihan Perubatan (Cara Kerja)</v>
      </c>
      <c r="C14" s="64" t="str">
        <f t="array" ref="C14">IFERROR(INDEX(Strategi!$D$5:$D$134,MATCH(LARGE(Strategi!$K$5:$K$134,9),Strategi!$K$5:$K$134,0)),"")</f>
        <v>U9</v>
      </c>
      <c r="D14" s="83" t="str">
        <f t="array" ref="D14">IFERROR(IF(INDEX(Strategi!$G$5:$G$134,MATCH(LARGE(Strategi!$K$5:$K$134,9),Strategi!$K$5:$K$134,0))="","","("&amp;COUNTIFS($B$6:$B14,$B14,$C$6:$C14,$C14)&amp;") "&amp;INDEX(Strategi!$G$5:$G$134,MATCH(LARGE(Strategi!$K$5:$K$134,9),Strategi!$K$5:$K$134,0))),"")</f>
        <v>(1) Conventional</v>
      </c>
      <c r="E14" s="64" t="str">
        <f t="array" ref="E14">IFERROR(INDEX(Strategi!$E$5:$E$134,MATCH(LARGE(Strategi!$K$5:$K$134,9),Strategi!$K$5:$K$134,0)),"")</f>
        <v>SEDERHANA</v>
      </c>
      <c r="F14" s="141">
        <f t="shared" si="1"/>
        <v>0</v>
      </c>
      <c r="G14" s="142" t="str">
        <f t="shared" si="2"/>
        <v/>
      </c>
      <c r="H14" s="143"/>
      <c r="I14" s="144"/>
      <c r="J14" s="143"/>
      <c r="K14" s="144"/>
      <c r="L14" s="143"/>
      <c r="M14" s="144"/>
      <c r="N14" s="143"/>
      <c r="O14" s="144"/>
      <c r="P14" s="143"/>
      <c r="Q14" s="144"/>
      <c r="R14" s="143"/>
      <c r="S14" s="144"/>
      <c r="T14" s="143"/>
      <c r="U14" s="144"/>
      <c r="V14" s="143"/>
      <c r="W14" s="144"/>
      <c r="X14" s="143"/>
      <c r="Y14" s="144"/>
      <c r="Z14" s="143">
        <v>46181.0</v>
      </c>
      <c r="AA14" s="144"/>
      <c r="AB14" s="143">
        <v>46188.0</v>
      </c>
      <c r="AC14" s="144"/>
      <c r="AD14" s="143">
        <v>46191.0</v>
      </c>
      <c r="AE14" s="144"/>
      <c r="AF14" s="64">
        <f t="array" ref="AF14">IFERROR(INDEX(Strategi!$H$5:$H$134,MATCH(LARGE(Strategi!$K$5:$K$134,7),Strategi!$K$5:$K$134,0)),"")</f>
        <v>65</v>
      </c>
      <c r="AG14" s="3" t="str">
        <f>IFERROR(MATCH(LARGE('Data &amp; Matriks'!$Z$11:$Z$36*10000-ROW('Data &amp; Matriks'!$Z$11:$Z$36),9),'Data &amp; Matriks'!$Z$11:$Z$36*10000-ROW('Data &amp; Matriks'!$Z$11:$Z$36),0),"")</f>
        <v/>
      </c>
    </row>
    <row r="15" ht="24.0" customHeight="1">
      <c r="A15" s="116">
        <f>IFERROR(IF(ISNUMBER(LARGE(Strategi!$K$5:$K$134,10)),10,""),"")</f>
        <v>10</v>
      </c>
      <c r="B15" s="64" t="str">
        <f t="array" ref="B15">IFERROR(INDEX(Strategi!$C$5:$C$134,MATCH(LARGE(Strategi!$K$5:$K$134,10),Strategi!$K$5:$K$134,0)),"")</f>
        <v>Pengajar (Jururawat)</v>
      </c>
      <c r="C15" s="64" t="str">
        <f t="array" ref="C15">IFERROR(INDEX(Strategi!$D$5:$D$134,MATCH(LARGE(Strategi!$K$5:$K$134,10),Strategi!$K$5:$K$134,0)),"")</f>
        <v>U9</v>
      </c>
      <c r="D15" s="83" t="str">
        <f t="array" ref="D15">IFERROR(IF(INDEX(Strategi!$G$5:$G$134,MATCH(LARGE(Strategi!$K$5:$K$134,10),Strategi!$K$5:$K$134,0))="","","("&amp;COUNTIFS($B$6:$B15,$B15,$C$6:$C15,$C15)&amp;") "&amp;INDEX(Strategi!$G$5:$G$134,MATCH(LARGE(Strategi!$K$5:$K$134,10),Strategi!$K$5:$K$134,0))),"")</f>
        <v>(1) Conventional</v>
      </c>
      <c r="E15" s="64" t="str">
        <f t="array" ref="E15">IFERROR(INDEX(Strategi!$E$5:$E$134,MATCH(LARGE(Strategi!$K$5:$K$134,10),Strategi!$K$5:$K$134,0)),"")</f>
        <v>SEDERHANA</v>
      </c>
      <c r="F15" s="141">
        <f t="shared" si="1"/>
        <v>0</v>
      </c>
      <c r="G15" s="142" t="str">
        <f t="shared" si="2"/>
        <v/>
      </c>
      <c r="H15" s="145">
        <v>46235.0</v>
      </c>
      <c r="I15" s="144"/>
      <c r="J15" s="143"/>
      <c r="K15" s="144"/>
      <c r="L15" s="143"/>
      <c r="M15" s="144"/>
      <c r="N15" s="143"/>
      <c r="O15" s="144"/>
      <c r="P15" s="143"/>
      <c r="Q15" s="144"/>
      <c r="R15" s="143"/>
      <c r="S15" s="144"/>
      <c r="T15" s="143"/>
      <c r="U15" s="144"/>
      <c r="V15" s="143"/>
      <c r="W15" s="144"/>
      <c r="X15" s="143"/>
      <c r="Y15" s="144"/>
      <c r="Z15" s="143">
        <v>46181.0</v>
      </c>
      <c r="AA15" s="144"/>
      <c r="AB15" s="143">
        <v>46188.0</v>
      </c>
      <c r="AC15" s="144"/>
      <c r="AD15" s="143">
        <v>46191.0</v>
      </c>
      <c r="AE15" s="144"/>
      <c r="AF15" s="64">
        <f t="array" ref="AF15">IFERROR(INDEX(Strategi!$H$5:$H$134,MATCH(LARGE(Strategi!$K$5:$K$134,10),Strategi!$K$5:$K$134,0)),"")</f>
        <v>13</v>
      </c>
      <c r="AG15" s="3" t="str">
        <f>IFERROR(MATCH(LARGE('Data &amp; Matriks'!$Z$11:$Z$36*10000-ROW('Data &amp; Matriks'!$Z$11:$Z$36),10),'Data &amp; Matriks'!$Z$11:$Z$36*10000-ROW('Data &amp; Matriks'!$Z$11:$Z$36),0),"")</f>
        <v/>
      </c>
    </row>
    <row r="16" ht="24.0" customHeight="1">
      <c r="A16" s="116">
        <f>IFERROR(IF(ISNUMBER(LARGE(Strategi!$K$5:$K$134,11)),11,""),"")</f>
        <v>11</v>
      </c>
      <c r="B16" s="64" t="str">
        <f t="array" ref="B16">IFERROR(INDEX(Strategi!$C$5:$C$134,MATCH(LARGE(Strategi!$K$5:$K$134,11),Strategi!$K$5:$K$134,0)),"")</f>
        <v>Pengajar (Penolong Pegawai Perubatan)</v>
      </c>
      <c r="C16" s="64" t="str">
        <f t="array" ref="C16">IFERROR(INDEX(Strategi!$D$5:$D$134,MATCH(LARGE(Strategi!$K$5:$K$134,11),Strategi!$K$5:$K$134,0)),"")</f>
        <v>U9</v>
      </c>
      <c r="D16" s="83" t="str">
        <f t="array" ref="D16">IFERROR(IF(INDEX(Strategi!$G$5:$G$134,MATCH(LARGE(Strategi!$K$5:$K$134,11),Strategi!$K$5:$K$134,0))="","","("&amp;COUNTIFS($B$6:$B16,$B16,$C$6:$C16,$C16)&amp;") "&amp;INDEX(Strategi!$G$5:$G$134,MATCH(LARGE(Strategi!$K$5:$K$134,11),Strategi!$K$5:$K$134,0))),"")</f>
        <v>(1) Conventional</v>
      </c>
      <c r="E16" s="64" t="str">
        <f t="array" ref="E16">IFERROR(INDEX(Strategi!$E$5:$E$134,MATCH(LARGE(Strategi!$K$5:$K$134,11),Strategi!$K$5:$K$134,0)),"")</f>
        <v>SEDERHANA</v>
      </c>
      <c r="F16" s="141">
        <f t="shared" si="1"/>
        <v>0</v>
      </c>
      <c r="G16" s="142" t="str">
        <f t="shared" si="2"/>
        <v/>
      </c>
      <c r="H16" s="145">
        <v>46235.0</v>
      </c>
      <c r="I16" s="144"/>
      <c r="J16" s="143"/>
      <c r="K16" s="144"/>
      <c r="L16" s="143"/>
      <c r="M16" s="144"/>
      <c r="N16" s="143"/>
      <c r="O16" s="144"/>
      <c r="P16" s="143"/>
      <c r="Q16" s="144"/>
      <c r="R16" s="143"/>
      <c r="S16" s="144"/>
      <c r="T16" s="143"/>
      <c r="U16" s="144"/>
      <c r="V16" s="143"/>
      <c r="W16" s="144"/>
      <c r="X16" s="143"/>
      <c r="Y16" s="144"/>
      <c r="Z16" s="143">
        <v>46181.0</v>
      </c>
      <c r="AA16" s="144"/>
      <c r="AB16" s="143">
        <v>46188.0</v>
      </c>
      <c r="AC16" s="144"/>
      <c r="AD16" s="143">
        <v>46191.0</v>
      </c>
      <c r="AE16" s="144"/>
      <c r="AF16" s="64">
        <f t="array" ref="AF16">IFERROR(INDEX(Strategi!$H$5:$H$134,MATCH(LARGE(Strategi!$K$5:$K$134,11),Strategi!$K$5:$K$134,0)),"")</f>
        <v>10</v>
      </c>
      <c r="AG16" s="3" t="str">
        <f>IFERROR(MATCH(LARGE('Data &amp; Matriks'!$Z$11:$Z$36*10000-ROW('Data &amp; Matriks'!$Z$11:$Z$36),11),'Data &amp; Matriks'!$Z$11:$Z$36*10000-ROW('Data &amp; Matriks'!$Z$11:$Z$36),0),"")</f>
        <v/>
      </c>
    </row>
    <row r="17" ht="24.0" customHeight="1">
      <c r="A17" s="116">
        <f>IFERROR(IF(ISNUMBER(LARGE(Strategi!$K$5:$K$134,12)),12,""),"")</f>
        <v>12</v>
      </c>
      <c r="B17" s="64" t="str">
        <f t="array" ref="B17">IFERROR(INDEX(Strategi!$C$5:$C$134,MATCH(LARGE(Strategi!$K$5:$K$134,12),Strategi!$K$5:$K$134,0)),"")</f>
        <v>Jururawat </v>
      </c>
      <c r="C17" s="64" t="str">
        <f t="array" ref="C17">IFERROR(INDEX(Strategi!$D$5:$D$134,MATCH(LARGE(Strategi!$K$5:$K$134,12),Strategi!$K$5:$K$134,0)),"")</f>
        <v>U9</v>
      </c>
      <c r="D17" s="83" t="str">
        <f t="array" ref="D17">IFERROR(IF(INDEX(Strategi!$G$5:$G$134,MATCH(LARGE(Strategi!$K$5:$K$134,12),Strategi!$K$5:$K$134,0))="","","("&amp;COUNTIFS($B$6:$B17,$B17,$C$6:$C17,$C17)&amp;") "&amp;INDEX(Strategi!$G$5:$G$134,MATCH(LARGE(Strategi!$K$5:$K$134,12),Strategi!$K$5:$K$134,0))),"")</f>
        <v>(1) Calon Simpanan</v>
      </c>
      <c r="E17" s="64" t="str">
        <f t="array" ref="E17">IFERROR(INDEX(Strategi!$E$5:$E$134,MATCH(LARGE(Strategi!$K$5:$K$134,12),Strategi!$K$5:$K$134,0)),"")</f>
        <v>SEDERHANA</v>
      </c>
      <c r="F17" s="141">
        <f t="shared" si="1"/>
        <v>0.25</v>
      </c>
      <c r="G17" s="142" t="str">
        <f t="shared" si="2"/>
        <v>P1: Permohonan e-Pengisian</v>
      </c>
      <c r="H17" s="143">
        <v>46148.0</v>
      </c>
      <c r="I17" s="146">
        <v>46148.0</v>
      </c>
      <c r="J17" s="143"/>
      <c r="K17" s="144"/>
      <c r="L17" s="143"/>
      <c r="M17" s="144"/>
      <c r="N17" s="143"/>
      <c r="O17" s="144"/>
      <c r="P17" s="143"/>
      <c r="Q17" s="144"/>
      <c r="R17" s="143"/>
      <c r="S17" s="144"/>
      <c r="T17" s="143"/>
      <c r="U17" s="144"/>
      <c r="V17" s="143"/>
      <c r="W17" s="144"/>
      <c r="X17" s="143"/>
      <c r="Y17" s="144"/>
      <c r="Z17" s="143">
        <v>46181.0</v>
      </c>
      <c r="AA17" s="144"/>
      <c r="AB17" s="143">
        <v>46188.0</v>
      </c>
      <c r="AC17" s="144"/>
      <c r="AD17" s="143">
        <v>46191.0</v>
      </c>
      <c r="AE17" s="144"/>
      <c r="AF17" s="64">
        <f t="array" ref="AF17">IFERROR(INDEX(Strategi!$H$5:$H$134,MATCH(LARGE(Strategi!$K$5:$K$134,12),Strategi!$K$5:$K$134,0)),"")</f>
        <v>59</v>
      </c>
      <c r="AG17" s="3" t="str">
        <f>IFERROR(MATCH(LARGE('Data &amp; Matriks'!$Z$11:$Z$36*10000-ROW('Data &amp; Matriks'!$Z$11:$Z$36),12),'Data &amp; Matriks'!$Z$11:$Z$36*10000-ROW('Data &amp; Matriks'!$Z$11:$Z$36),0),"")</f>
        <v/>
      </c>
    </row>
    <row r="18" ht="24.0" customHeight="1">
      <c r="A18" s="116">
        <f>IFERROR(IF(ISNUMBER(LARGE(Strategi!$K$5:$K$134,13)),13,""),"")</f>
        <v>13</v>
      </c>
      <c r="B18" s="64" t="str">
        <f t="array" ref="B18">IFERROR(INDEX(Strategi!$C$5:$C$134,MATCH(LARGE(Strategi!$K$5:$K$134,13),Strategi!$K$5:$K$134,0)),"")</f>
        <v>Penolong Pegawai Perubatan</v>
      </c>
      <c r="C18" s="64" t="str">
        <f t="array" ref="C18">IFERROR(INDEX(Strategi!$D$5:$D$134,MATCH(LARGE(Strategi!$K$5:$K$134,13),Strategi!$K$5:$K$134,0)),"")</f>
        <v>U9</v>
      </c>
      <c r="D18" s="83" t="str">
        <f t="array" ref="D18">IFERROR(IF(INDEX(Strategi!$G$5:$G$134,MATCH(LARGE(Strategi!$K$5:$K$134,13),Strategi!$K$5:$K$134,0))="","","("&amp;COUNTIFS($B$6:$B18,$B18,$C$6:$C18,$C18)&amp;") "&amp;INDEX(Strategi!$G$5:$G$134,MATCH(LARGE(Strategi!$K$5:$K$134,13),Strategi!$K$5:$K$134,0))),"")</f>
        <v>(1) Calon Simpanan</v>
      </c>
      <c r="E18" s="64" t="str">
        <f t="array" ref="E18">IFERROR(INDEX(Strategi!$E$5:$E$134,MATCH(LARGE(Strategi!$K$5:$K$134,13),Strategi!$K$5:$K$134,0)),"")</f>
        <v>SEDERHANA</v>
      </c>
      <c r="F18" s="141">
        <f t="shared" si="1"/>
        <v>0</v>
      </c>
      <c r="G18" s="142" t="str">
        <f t="shared" si="2"/>
        <v/>
      </c>
      <c r="H18" s="145"/>
      <c r="I18" s="144"/>
      <c r="J18" s="143"/>
      <c r="K18" s="144"/>
      <c r="L18" s="143"/>
      <c r="M18" s="144"/>
      <c r="N18" s="143"/>
      <c r="O18" s="144"/>
      <c r="P18" s="143"/>
      <c r="Q18" s="144"/>
      <c r="R18" s="143"/>
      <c r="S18" s="144"/>
      <c r="T18" s="143"/>
      <c r="U18" s="144"/>
      <c r="V18" s="143"/>
      <c r="W18" s="144"/>
      <c r="X18" s="143"/>
      <c r="Y18" s="144"/>
      <c r="Z18" s="143">
        <v>46181.0</v>
      </c>
      <c r="AA18" s="144"/>
      <c r="AB18" s="143">
        <v>46188.0</v>
      </c>
      <c r="AC18" s="144"/>
      <c r="AD18" s="143">
        <v>46191.0</v>
      </c>
      <c r="AE18" s="144"/>
      <c r="AF18" s="64">
        <f t="array" ref="AF18">IFERROR(INDEX(Strategi!$H$5:$H$134,MATCH(LARGE(Strategi!$K$5:$K$134,13),Strategi!$K$5:$K$134,0)),"")</f>
        <v>37</v>
      </c>
      <c r="AG18" s="3" t="str">
        <f>IFERROR(MATCH(LARGE('Data &amp; Matriks'!$Z$11:$Z$36*10000-ROW('Data &amp; Matriks'!$Z$11:$Z$36),13),'Data &amp; Matriks'!$Z$11:$Z$36*10000-ROW('Data &amp; Matriks'!$Z$11:$Z$36),0),"")</f>
        <v/>
      </c>
    </row>
    <row r="19" ht="24.0" customHeight="1">
      <c r="A19" s="116">
        <f>IFERROR(IF(ISNUMBER(LARGE(Strategi!$K$5:$K$134,14)),14,""),"")</f>
        <v>14</v>
      </c>
      <c r="B19" s="64" t="str">
        <f t="array" ref="B19">IFERROR(INDEX(Strategi!$C$5:$C$134,MATCH(LARGE(Strategi!$K$5:$K$134,14),Strategi!$K$5:$K$134,0)),"")</f>
        <v>Penolong Pegawai Perubatan</v>
      </c>
      <c r="C19" s="64" t="str">
        <f t="array" ref="C19">IFERROR(INDEX(Strategi!$D$5:$D$134,MATCH(LARGE(Strategi!$K$5:$K$134,14),Strategi!$K$5:$K$134,0)),"")</f>
        <v>U9</v>
      </c>
      <c r="D19" s="83" t="str">
        <f t="array" ref="D19">IFERROR(IF(INDEX(Strategi!$G$5:$G$134,MATCH(LARGE(Strategi!$K$5:$K$134,14),Strategi!$K$5:$K$134,0))="","","("&amp;COUNTIFS($B$6:$B19,$B19,$C$6:$C19,$C19)&amp;") "&amp;INDEX(Strategi!$G$5:$G$134,MATCH(LARGE(Strategi!$K$5:$K$134,14),Strategi!$K$5:$K$134,0))),"")</f>
        <v>(2) Conventional</v>
      </c>
      <c r="E19" s="64" t="str">
        <f t="array" ref="E19">IFERROR(INDEX(Strategi!$E$5:$E$134,MATCH(LARGE(Strategi!$K$5:$K$134,14),Strategi!$K$5:$K$134,0)),"")</f>
        <v>SEDERHANA</v>
      </c>
      <c r="F19" s="141">
        <f t="shared" si="1"/>
        <v>0.1</v>
      </c>
      <c r="G19" s="142" t="str">
        <f t="shared" si="2"/>
        <v>P1: Permohonan e-Pengisian</v>
      </c>
      <c r="H19" s="145">
        <v>46147.0</v>
      </c>
      <c r="I19" s="146">
        <v>46147.0</v>
      </c>
      <c r="J19" s="143"/>
      <c r="K19" s="144"/>
      <c r="L19" s="143">
        <v>46167.0</v>
      </c>
      <c r="M19" s="144"/>
      <c r="N19" s="143">
        <v>46174.0</v>
      </c>
      <c r="O19" s="144"/>
      <c r="P19" s="143">
        <v>46176.0</v>
      </c>
      <c r="Q19" s="144"/>
      <c r="R19" s="143">
        <v>46190.0</v>
      </c>
      <c r="S19" s="144"/>
      <c r="T19" s="143">
        <v>46216.0</v>
      </c>
      <c r="U19" s="144"/>
      <c r="V19" s="143"/>
      <c r="W19" s="144"/>
      <c r="X19" s="143">
        <v>46266.0</v>
      </c>
      <c r="Y19" s="144"/>
      <c r="Z19" s="143">
        <v>46337.0</v>
      </c>
      <c r="AA19" s="144"/>
      <c r="AB19" s="143">
        <v>46341.0</v>
      </c>
      <c r="AC19" s="144"/>
      <c r="AD19" s="143">
        <v>46345.0</v>
      </c>
      <c r="AE19" s="144"/>
      <c r="AF19" s="64">
        <f t="array" ref="AF19">IFERROR(INDEX(Strategi!$H$5:$H$134,MATCH(LARGE(Strategi!$K$5:$K$134,14),Strategi!$K$5:$K$134,0)),"")</f>
        <v>43</v>
      </c>
      <c r="AG19" s="3" t="str">
        <f>IFERROR(MATCH(LARGE('Data &amp; Matriks'!$Z$11:$Z$36*10000-ROW('Data &amp; Matriks'!$Z$11:$Z$36),14),'Data &amp; Matriks'!$Z$11:$Z$36*10000-ROW('Data &amp; Matriks'!$Z$11:$Z$36),0),"")</f>
        <v/>
      </c>
    </row>
    <row r="20" ht="24.0" customHeight="1">
      <c r="A20" s="116">
        <f>IFERROR(IF(ISNUMBER(LARGE(Strategi!$K$5:$K$134,15)),15,""),"")</f>
        <v>15</v>
      </c>
      <c r="B20" s="64" t="str">
        <f t="array" ref="B20">IFERROR(INDEX(Strategi!$C$5:$C$134,MATCH(LARGE(Strategi!$K$5:$K$134,15),Strategi!$K$5:$K$134,0)),"")</f>
        <v>Juru X-Ray (Diagnostik)</v>
      </c>
      <c r="C20" s="64" t="str">
        <f t="array" ref="C20">IFERROR(INDEX(Strategi!$D$5:$D$134,MATCH(LARGE(Strategi!$K$5:$K$134,15),Strategi!$K$5:$K$134,0)),"")</f>
        <v>U9</v>
      </c>
      <c r="D20" s="83" t="str">
        <f t="array" ref="D20">IFERROR(IF(INDEX(Strategi!$G$5:$G$134,MATCH(LARGE(Strategi!$K$5:$K$134,15),Strategi!$K$5:$K$134,0))="","","("&amp;COUNTIFS($B$6:$B20,$B20,$C$6:$C20,$C20)&amp;") "&amp;INDEX(Strategi!$G$5:$G$134,MATCH(LARGE(Strategi!$K$5:$K$134,15),Strategi!$K$5:$K$134,0))),"")</f>
        <v>(1) Conventional</v>
      </c>
      <c r="E20" s="64" t="str">
        <f t="array" ref="E20">IFERROR(INDEX(Strategi!$E$5:$E$134,MATCH(LARGE(Strategi!$K$5:$K$134,15),Strategi!$K$5:$K$134,0)),"")</f>
        <v>SEDERHANA</v>
      </c>
      <c r="F20" s="141">
        <f t="shared" si="1"/>
        <v>0</v>
      </c>
      <c r="G20" s="142" t="str">
        <f t="shared" si="2"/>
        <v/>
      </c>
      <c r="H20" s="143">
        <v>46204.0</v>
      </c>
      <c r="I20" s="144"/>
      <c r="J20" s="143"/>
      <c r="K20" s="144"/>
      <c r="L20" s="143"/>
      <c r="M20" s="144"/>
      <c r="N20" s="143"/>
      <c r="O20" s="144"/>
      <c r="P20" s="143"/>
      <c r="Q20" s="144"/>
      <c r="R20" s="143"/>
      <c r="S20" s="144"/>
      <c r="T20" s="143"/>
      <c r="U20" s="144"/>
      <c r="V20" s="143"/>
      <c r="W20" s="144"/>
      <c r="X20" s="143"/>
      <c r="Y20" s="144"/>
      <c r="Z20" s="143"/>
      <c r="AA20" s="144"/>
      <c r="AB20" s="143"/>
      <c r="AC20" s="144"/>
      <c r="AD20" s="143"/>
      <c r="AE20" s="144"/>
      <c r="AF20" s="64">
        <f t="array" ref="AF20">IFERROR(INDEX(Strategi!$H$5:$H$134,MATCH(LARGE(Strategi!$K$5:$K$134,15),Strategi!$K$5:$K$134,0)),"")</f>
        <v>7</v>
      </c>
      <c r="AG20" s="3" t="str">
        <f>IFERROR(MATCH(LARGE('Data &amp; Matriks'!$Z$11:$Z$36*10000-ROW('Data &amp; Matriks'!$Z$11:$Z$36),15),'Data &amp; Matriks'!$Z$11:$Z$36*10000-ROW('Data &amp; Matriks'!$Z$11:$Z$36),0),"")</f>
        <v/>
      </c>
    </row>
    <row r="21" ht="24.0" customHeight="1">
      <c r="A21" s="116">
        <f>IFERROR(IF(ISNUMBER(LARGE(Strategi!$K$5:$K$134,16)),16,""),"")</f>
        <v>16</v>
      </c>
      <c r="B21" s="64" t="str">
        <f t="array" ref="B21">IFERROR(INDEX(Strategi!$C$5:$C$134,MATCH(LARGE(Strategi!$K$5:$K$134,16),Strategi!$K$5:$K$134,0)),"")</f>
        <v>Pegawai Dietetik</v>
      </c>
      <c r="C21" s="64" t="str">
        <f t="array" ref="C21">IFERROR(INDEX(Strategi!$D$5:$D$134,MATCH(LARGE(Strategi!$K$5:$K$134,16),Strategi!$K$5:$K$134,0)),"")</f>
        <v>U9</v>
      </c>
      <c r="D21" s="83" t="str">
        <f t="array" ref="D21">IFERROR(IF(INDEX(Strategi!$G$5:$G$134,MATCH(LARGE(Strategi!$K$5:$K$134,16),Strategi!$K$5:$K$134,0))="","","("&amp;COUNTIFS($B$6:$B21,$B21,$C$6:$C21,$C21)&amp;") "&amp;INDEX(Strategi!$G$5:$G$134,MATCH(LARGE(Strategi!$K$5:$K$134,16),Strategi!$K$5:$K$134,0))),"")</f>
        <v>(1) Calon Simpanan</v>
      </c>
      <c r="E21" s="64" t="str">
        <f t="array" ref="E21">IFERROR(INDEX(Strategi!$E$5:$E$134,MATCH(LARGE(Strategi!$K$5:$K$134,16),Strategi!$K$5:$K$134,0)),"")</f>
        <v>RENDAH</v>
      </c>
      <c r="F21" s="141">
        <f t="shared" si="1"/>
        <v>0</v>
      </c>
      <c r="G21" s="142" t="str">
        <f t="shared" si="2"/>
        <v/>
      </c>
      <c r="H21" s="143">
        <v>46204.0</v>
      </c>
      <c r="I21" s="144"/>
      <c r="J21" s="143"/>
      <c r="K21" s="144"/>
      <c r="L21" s="143"/>
      <c r="M21" s="144"/>
      <c r="N21" s="143"/>
      <c r="O21" s="144"/>
      <c r="P21" s="143"/>
      <c r="Q21" s="144"/>
      <c r="R21" s="143"/>
      <c r="S21" s="144"/>
      <c r="T21" s="143"/>
      <c r="U21" s="144"/>
      <c r="V21" s="143"/>
      <c r="W21" s="144"/>
      <c r="X21" s="143"/>
      <c r="Y21" s="144"/>
      <c r="Z21" s="143"/>
      <c r="AA21" s="144"/>
      <c r="AB21" s="143"/>
      <c r="AC21" s="144"/>
      <c r="AD21" s="143"/>
      <c r="AE21" s="144"/>
      <c r="AF21" s="64">
        <f t="array" ref="AF21">IFERROR(INDEX(Strategi!$H$5:$H$134,MATCH(LARGE(Strategi!$K$5:$K$134,16),Strategi!$K$5:$K$134,0)),"")</f>
        <v>70</v>
      </c>
      <c r="AG21" s="3" t="str">
        <f>IFERROR(MATCH(LARGE('Data &amp; Matriks'!$Z$11:$Z$36*10000-ROW('Data &amp; Matriks'!$Z$11:$Z$36),16),'Data &amp; Matriks'!$Z$11:$Z$36*10000-ROW('Data &amp; Matriks'!$Z$11:$Z$36),0),"")</f>
        <v/>
      </c>
    </row>
    <row r="22" ht="24.0" customHeight="1">
      <c r="A22" s="116">
        <f>IFERROR(IF(ISNUMBER(LARGE(Strategi!$K$5:$K$134,17)),17,""),"")</f>
        <v>17</v>
      </c>
      <c r="B22" s="64" t="str">
        <f t="array" ref="B22">IFERROR(INDEX(Strategi!$C$5:$C$134,MATCH(LARGE(Strategi!$K$5:$K$134,17),Strategi!$K$5:$K$134,0)),"")</f>
        <v>Pegawai Dietetik</v>
      </c>
      <c r="C22" s="64" t="str">
        <f t="array" ref="C22">IFERROR(INDEX(Strategi!$D$5:$D$134,MATCH(LARGE(Strategi!$K$5:$K$134,17),Strategi!$K$5:$K$134,0)),"")</f>
        <v>U9</v>
      </c>
      <c r="D22" s="83" t="str">
        <f t="array" ref="D22">IFERROR(IF(INDEX(Strategi!$G$5:$G$134,MATCH(LARGE(Strategi!$K$5:$K$134,17),Strategi!$K$5:$K$134,0))="","","("&amp;COUNTIFS($B$6:$B22,$B22,$C$6:$C22,$C22)&amp;") "&amp;INDEX(Strategi!$G$5:$G$134,MATCH(LARGE(Strategi!$K$5:$K$134,17),Strategi!$K$5:$K$134,0))),"")</f>
        <v>(2) Conventional</v>
      </c>
      <c r="E22" s="64" t="str">
        <f t="array" ref="E22">IFERROR(INDEX(Strategi!$E$5:$E$134,MATCH(LARGE(Strategi!$K$5:$K$134,17),Strategi!$K$5:$K$134,0)),"")</f>
        <v>RENDAH</v>
      </c>
      <c r="F22" s="141">
        <f t="shared" si="1"/>
        <v>0</v>
      </c>
      <c r="G22" s="142" t="str">
        <f t="shared" si="2"/>
        <v/>
      </c>
      <c r="H22" s="145">
        <v>46235.0</v>
      </c>
      <c r="I22" s="144"/>
      <c r="J22" s="143"/>
      <c r="K22" s="144"/>
      <c r="L22" s="143"/>
      <c r="M22" s="144"/>
      <c r="N22" s="143"/>
      <c r="O22" s="144"/>
      <c r="P22" s="143"/>
      <c r="Q22" s="144"/>
      <c r="R22" s="143"/>
      <c r="S22" s="144"/>
      <c r="T22" s="143"/>
      <c r="U22" s="144"/>
      <c r="V22" s="143"/>
      <c r="W22" s="144"/>
      <c r="X22" s="143"/>
      <c r="Y22" s="144"/>
      <c r="Z22" s="143"/>
      <c r="AA22" s="144"/>
      <c r="AB22" s="143"/>
      <c r="AC22" s="144"/>
      <c r="AD22" s="143"/>
      <c r="AE22" s="144"/>
      <c r="AF22" s="64">
        <f t="array" ref="AF22">IFERROR(INDEX(Strategi!$H$5:$H$134,MATCH(LARGE(Strategi!$K$5:$K$134,17),Strategi!$K$5:$K$134,0)),"")</f>
        <v>6</v>
      </c>
      <c r="AG22" s="3" t="str">
        <f>IFERROR(MATCH(LARGE('Data &amp; Matriks'!$Z$11:$Z$36*10000-ROW('Data &amp; Matriks'!$Z$11:$Z$36),17),'Data &amp; Matriks'!$Z$11:$Z$36*10000-ROW('Data &amp; Matriks'!$Z$11:$Z$36),0),"")</f>
        <v/>
      </c>
    </row>
    <row r="23" ht="24.0" customHeight="1">
      <c r="A23" s="116">
        <f>IFERROR(IF(ISNUMBER(LARGE(Strategi!$K$5:$K$134,18)),18,""),"")</f>
        <v>18</v>
      </c>
      <c r="B23" s="64" t="str">
        <f t="array" ref="B23">IFERROR(INDEX(Strategi!$C$5:$C$134,MATCH(LARGE(Strategi!$K$5:$K$134,18),Strategi!$K$5:$K$134,0)),"")</f>
        <v>Pegawai Pemulihan Perubatan (Pendengaran)</v>
      </c>
      <c r="C23" s="64" t="str">
        <f t="array" ref="C23">IFERROR(INDEX(Strategi!$D$5:$D$134,MATCH(LARGE(Strategi!$K$5:$K$134,18),Strategi!$K$5:$K$134,0)),"")</f>
        <v>U9</v>
      </c>
      <c r="D23" s="83" t="str">
        <f t="array" ref="D23">IFERROR(IF(INDEX(Strategi!$G$5:$G$134,MATCH(LARGE(Strategi!$K$5:$K$134,18),Strategi!$K$5:$K$134,0))="","","("&amp;COUNTIFS($B$6:$B23,$B23,$C$6:$C23,$C23)&amp;") "&amp;INDEX(Strategi!$G$5:$G$134,MATCH(LARGE(Strategi!$K$5:$K$134,18),Strategi!$K$5:$K$134,0))),"")</f>
        <v>(1) Conventional</v>
      </c>
      <c r="E23" s="64" t="str">
        <f t="array" ref="E23">IFERROR(INDEX(Strategi!$E$5:$E$134,MATCH(LARGE(Strategi!$K$5:$K$134,18),Strategi!$K$5:$K$134,0)),"")</f>
        <v>RENDAH</v>
      </c>
      <c r="F23" s="141">
        <f t="shared" si="1"/>
        <v>0</v>
      </c>
      <c r="G23" s="142" t="str">
        <f t="shared" si="2"/>
        <v/>
      </c>
      <c r="H23" s="145">
        <v>46235.0</v>
      </c>
      <c r="I23" s="144"/>
      <c r="J23" s="143"/>
      <c r="K23" s="144"/>
      <c r="L23" s="143"/>
      <c r="M23" s="144"/>
      <c r="N23" s="143"/>
      <c r="O23" s="144"/>
      <c r="P23" s="143"/>
      <c r="Q23" s="144"/>
      <c r="R23" s="143"/>
      <c r="S23" s="144"/>
      <c r="T23" s="143"/>
      <c r="U23" s="144"/>
      <c r="V23" s="143"/>
      <c r="W23" s="144"/>
      <c r="X23" s="143"/>
      <c r="Y23" s="144"/>
      <c r="Z23" s="143"/>
      <c r="AA23" s="144"/>
      <c r="AB23" s="143"/>
      <c r="AC23" s="144"/>
      <c r="AD23" s="143"/>
      <c r="AE23" s="144"/>
      <c r="AF23" s="64">
        <f t="array" ref="AF23">IFERROR(INDEX(Strategi!$H$5:$H$134,MATCH(LARGE(Strategi!$K$5:$K$134,18),Strategi!$K$5:$K$134,0)),"")</f>
        <v>13</v>
      </c>
      <c r="AG23" s="3" t="str">
        <f>IFERROR(MATCH(LARGE('Data &amp; Matriks'!$Z$11:$Z$36*10000-ROW('Data &amp; Matriks'!$Z$11:$Z$36),18),'Data &amp; Matriks'!$Z$11:$Z$36*10000-ROW('Data &amp; Matriks'!$Z$11:$Z$36),0),"")</f>
        <v/>
      </c>
    </row>
    <row r="24" ht="24.0" customHeight="1">
      <c r="A24" s="116">
        <f>IFERROR(IF(ISNUMBER(LARGE(Strategi!$K$5:$K$134,19)),19,""),"")</f>
        <v>19</v>
      </c>
      <c r="B24" s="64" t="str">
        <f t="array" ref="B24">IFERROR(INDEX(Strategi!$C$5:$C$134,MATCH(LARGE(Strategi!$K$5:$K$134,19),Strategi!$K$5:$K$134,0)),"")</f>
        <v>Pegawai Optometri</v>
      </c>
      <c r="C24" s="64" t="str">
        <f t="array" ref="C24">IFERROR(INDEX(Strategi!$D$5:$D$134,MATCH(LARGE(Strategi!$K$5:$K$134,19),Strategi!$K$5:$K$134,0)),"")</f>
        <v>U9</v>
      </c>
      <c r="D24" s="83" t="str">
        <f t="array" ref="D24">IFERROR(IF(INDEX(Strategi!$G$5:$G$134,MATCH(LARGE(Strategi!$K$5:$K$134,19),Strategi!$K$5:$K$134,0))="","","("&amp;COUNTIFS($B$6:$B24,$B24,$C$6:$C24,$C24)&amp;") "&amp;INDEX(Strategi!$G$5:$G$134,MATCH(LARGE(Strategi!$K$5:$K$134,19),Strategi!$K$5:$K$134,0))),"")</f>
        <v>(1) Conventional</v>
      </c>
      <c r="E24" s="64" t="str">
        <f t="array" ref="E24">IFERROR(INDEX(Strategi!$E$5:$E$134,MATCH(LARGE(Strategi!$K$5:$K$134,19),Strategi!$K$5:$K$134,0)),"")</f>
        <v>RENDAH</v>
      </c>
      <c r="F24" s="141">
        <f t="shared" si="1"/>
        <v>0</v>
      </c>
      <c r="G24" s="142" t="str">
        <f t="shared" si="2"/>
        <v/>
      </c>
      <c r="H24" s="145">
        <v>46235.0</v>
      </c>
      <c r="I24" s="144"/>
      <c r="J24" s="143"/>
      <c r="K24" s="144"/>
      <c r="L24" s="143"/>
      <c r="M24" s="144"/>
      <c r="N24" s="143"/>
      <c r="O24" s="144"/>
      <c r="P24" s="143"/>
      <c r="Q24" s="144"/>
      <c r="R24" s="143"/>
      <c r="S24" s="144"/>
      <c r="T24" s="143"/>
      <c r="U24" s="144"/>
      <c r="V24" s="143"/>
      <c r="W24" s="144"/>
      <c r="X24" s="143"/>
      <c r="Y24" s="144"/>
      <c r="Z24" s="143"/>
      <c r="AA24" s="144"/>
      <c r="AB24" s="143"/>
      <c r="AC24" s="144"/>
      <c r="AD24" s="143"/>
      <c r="AE24" s="144"/>
      <c r="AF24" s="64">
        <f t="array" ref="AF24">IFERROR(INDEX(Strategi!$H$5:$H$134,MATCH(LARGE(Strategi!$K$5:$K$134,19),Strategi!$K$5:$K$134,0)),"")</f>
        <v>34</v>
      </c>
      <c r="AG24" s="3" t="str">
        <f>IFERROR(MATCH(LARGE('Data &amp; Matriks'!$Z$11:$Z$36*10000-ROW('Data &amp; Matriks'!$Z$11:$Z$36),19),'Data &amp; Matriks'!$Z$11:$Z$36*10000-ROW('Data &amp; Matriks'!$Z$11:$Z$36),0),"")</f>
        <v/>
      </c>
    </row>
    <row r="25" ht="24.0" customHeight="1">
      <c r="A25" s="116">
        <f>IFERROR(IF(ISNUMBER(LARGE(Strategi!$K$5:$K$134,20)),20,""),"")</f>
        <v>20</v>
      </c>
      <c r="B25" s="64" t="str">
        <f t="array" ref="B25">IFERROR(INDEX(Strategi!$C$5:$C$134,MATCH(LARGE(Strategi!$K$5:$K$134,20),Strategi!$K$5:$K$134,0)),"")</f>
        <v>Pengajar (Penolong Pegawai Kesihatan Persekitaran)</v>
      </c>
      <c r="C25" s="64" t="str">
        <f t="array" ref="C25">IFERROR(INDEX(Strategi!$D$5:$D$134,MATCH(LARGE(Strategi!$K$5:$K$134,20),Strategi!$K$5:$K$134,0)),"")</f>
        <v>U9</v>
      </c>
      <c r="D25" s="83" t="str">
        <f t="array" ref="D25">IFERROR(IF(INDEX(Strategi!$G$5:$G$134,MATCH(LARGE(Strategi!$K$5:$K$134,20),Strategi!$K$5:$K$134,0))="","","("&amp;COUNTIFS($B$6:$B25,$B25,$C$6:$C25,$C25)&amp;") "&amp;INDEX(Strategi!$G$5:$G$134,MATCH(LARGE(Strategi!$K$5:$K$134,20),Strategi!$K$5:$K$134,0))),"")</f>
        <v>(1) Conventional</v>
      </c>
      <c r="E25" s="64" t="str">
        <f t="array" ref="E25">IFERROR(INDEX(Strategi!$E$5:$E$134,MATCH(LARGE(Strategi!$K$5:$K$134,20),Strategi!$K$5:$K$134,0)),"")</f>
        <v>RENDAH</v>
      </c>
      <c r="F25" s="141">
        <f t="shared" si="1"/>
        <v>0</v>
      </c>
      <c r="G25" s="142" t="str">
        <f t="shared" si="2"/>
        <v/>
      </c>
      <c r="H25" s="145">
        <v>46235.0</v>
      </c>
      <c r="I25" s="144"/>
      <c r="J25" s="143"/>
      <c r="K25" s="144"/>
      <c r="L25" s="143"/>
      <c r="M25" s="144"/>
      <c r="N25" s="143"/>
      <c r="O25" s="144"/>
      <c r="P25" s="143"/>
      <c r="Q25" s="144"/>
      <c r="R25" s="143"/>
      <c r="S25" s="144"/>
      <c r="T25" s="143"/>
      <c r="U25" s="144"/>
      <c r="V25" s="143"/>
      <c r="W25" s="144"/>
      <c r="X25" s="143"/>
      <c r="Y25" s="144"/>
      <c r="Z25" s="143"/>
      <c r="AA25" s="144"/>
      <c r="AB25" s="143"/>
      <c r="AC25" s="144"/>
      <c r="AD25" s="143"/>
      <c r="AE25" s="144"/>
      <c r="AF25" s="64">
        <f t="array" ref="AF25">IFERROR(INDEX(Strategi!$H$5:$H$134,MATCH(LARGE(Strategi!$K$5:$K$134,20),Strategi!$K$5:$K$134,0)),"")</f>
        <v>8</v>
      </c>
      <c r="AG25" s="3" t="str">
        <f>IFERROR(MATCH(LARGE('Data &amp; Matriks'!$Z$11:$Z$36*10000-ROW('Data &amp; Matriks'!$Z$11:$Z$36),20),'Data &amp; Matriks'!$Z$11:$Z$36*10000-ROW('Data &amp; Matriks'!$Z$11:$Z$36),0),"")</f>
        <v/>
      </c>
    </row>
    <row r="26" ht="24.0" customHeight="1">
      <c r="A26" s="116">
        <f>IFERROR(IF(ISNUMBER(LARGE(Strategi!$K$5:$K$134,21)),21,""),"")</f>
        <v>21</v>
      </c>
      <c r="B26" s="64" t="str">
        <f t="array" ref="B26">IFERROR(INDEX(Strategi!$C$5:$C$134,MATCH(LARGE(Strategi!$K$5:$K$134,21),Strategi!$K$5:$K$134,0)),"")</f>
        <v>Pengajar  (Juruteknologi Pergigian)</v>
      </c>
      <c r="C26" s="64" t="str">
        <f t="array" ref="C26">IFERROR(INDEX(Strategi!$D$5:$D$134,MATCH(LARGE(Strategi!$K$5:$K$134,21),Strategi!$K$5:$K$134,0)),"")</f>
        <v>U9</v>
      </c>
      <c r="D26" s="83" t="str">
        <f t="array" ref="D26">IFERROR(IF(INDEX(Strategi!$G$5:$G$134,MATCH(LARGE(Strategi!$K$5:$K$134,21),Strategi!$K$5:$K$134,0))="","","("&amp;COUNTIFS($B$6:$B26,$B26,$C$6:$C26,$C26)&amp;") "&amp;INDEX(Strategi!$G$5:$G$134,MATCH(LARGE(Strategi!$K$5:$K$134,21),Strategi!$K$5:$K$134,0))),"")</f>
        <v>(1) Conventional</v>
      </c>
      <c r="E26" s="64" t="str">
        <f t="array" ref="E26">IFERROR(INDEX(Strategi!$E$5:$E$134,MATCH(LARGE(Strategi!$K$5:$K$134,21),Strategi!$K$5:$K$134,0)),"")</f>
        <v>RENDAH</v>
      </c>
      <c r="F26" s="141">
        <f t="shared" si="1"/>
        <v>0</v>
      </c>
      <c r="G26" s="142" t="str">
        <f t="shared" si="2"/>
        <v/>
      </c>
      <c r="H26" s="145">
        <v>46235.0</v>
      </c>
      <c r="I26" s="144"/>
      <c r="J26" s="143"/>
      <c r="K26" s="144"/>
      <c r="L26" s="143"/>
      <c r="M26" s="144"/>
      <c r="N26" s="143"/>
      <c r="O26" s="144"/>
      <c r="P26" s="143"/>
      <c r="Q26" s="144"/>
      <c r="R26" s="143"/>
      <c r="S26" s="144"/>
      <c r="T26" s="143"/>
      <c r="U26" s="144"/>
      <c r="V26" s="143"/>
      <c r="W26" s="144"/>
      <c r="X26" s="143"/>
      <c r="Y26" s="144"/>
      <c r="Z26" s="143"/>
      <c r="AA26" s="144"/>
      <c r="AB26" s="143"/>
      <c r="AC26" s="144"/>
      <c r="AD26" s="143"/>
      <c r="AE26" s="144"/>
      <c r="AF26" s="64">
        <f t="array" ref="AF26">IFERROR(INDEX(Strategi!$H$5:$H$134,MATCH(LARGE(Strategi!$K$5:$K$134,21),Strategi!$K$5:$K$134,0)),"")</f>
        <v>4</v>
      </c>
      <c r="AG26" s="3" t="str">
        <f>IFERROR(MATCH(LARGE('Data &amp; Matriks'!$Z$11:$Z$36*10000-ROW('Data &amp; Matriks'!$Z$11:$Z$36),21),'Data &amp; Matriks'!$Z$11:$Z$36*10000-ROW('Data &amp; Matriks'!$Z$11:$Z$36),0),"")</f>
        <v/>
      </c>
    </row>
    <row r="27" ht="24.0" customHeight="1">
      <c r="A27" s="116">
        <f>IFERROR(IF(ISNUMBER(LARGE(Strategi!$K$5:$K$134,22)),22,""),"")</f>
        <v>22</v>
      </c>
      <c r="B27" s="64" t="str">
        <f t="array" ref="B27">IFERROR(INDEX(Strategi!$C$5:$C$134,MATCH(LARGE(Strategi!$K$5:$K$134,22),Strategi!$K$5:$K$134,0)),"")</f>
        <v>Pengajar  (Penolong Pegawai Farmasi)</v>
      </c>
      <c r="C27" s="64" t="str">
        <f t="array" ref="C27">IFERROR(INDEX(Strategi!$D$5:$D$134,MATCH(LARGE(Strategi!$K$5:$K$134,22),Strategi!$K$5:$K$134,0)),"")</f>
        <v>U9</v>
      </c>
      <c r="D27" s="83" t="str">
        <f t="array" ref="D27">IFERROR(IF(INDEX(Strategi!$G$5:$G$134,MATCH(LARGE(Strategi!$K$5:$K$134,22),Strategi!$K$5:$K$134,0))="","","("&amp;COUNTIFS($B$6:$B27,$B27,$C$6:$C27,$C27)&amp;") "&amp;INDEX(Strategi!$G$5:$G$134,MATCH(LARGE(Strategi!$K$5:$K$134,22),Strategi!$K$5:$K$134,0))),"")</f>
        <v>(1) Conventional</v>
      </c>
      <c r="E27" s="64" t="str">
        <f t="array" ref="E27">IFERROR(INDEX(Strategi!$E$5:$E$134,MATCH(LARGE(Strategi!$K$5:$K$134,22),Strategi!$K$5:$K$134,0)),"")</f>
        <v>RENDAH</v>
      </c>
      <c r="F27" s="141">
        <f t="shared" si="1"/>
        <v>0</v>
      </c>
      <c r="G27" s="142" t="str">
        <f t="shared" si="2"/>
        <v/>
      </c>
      <c r="H27" s="145">
        <v>46235.0</v>
      </c>
      <c r="I27" s="144"/>
      <c r="J27" s="143"/>
      <c r="K27" s="144"/>
      <c r="L27" s="143"/>
      <c r="M27" s="144"/>
      <c r="N27" s="143"/>
      <c r="O27" s="144"/>
      <c r="P27" s="143"/>
      <c r="Q27" s="144"/>
      <c r="R27" s="143"/>
      <c r="S27" s="144"/>
      <c r="T27" s="143"/>
      <c r="U27" s="144"/>
      <c r="V27" s="143"/>
      <c r="W27" s="144"/>
      <c r="X27" s="143"/>
      <c r="Y27" s="144"/>
      <c r="Z27" s="143"/>
      <c r="AA27" s="144"/>
      <c r="AB27" s="143"/>
      <c r="AC27" s="144"/>
      <c r="AD27" s="143"/>
      <c r="AE27" s="144"/>
      <c r="AF27" s="64">
        <f t="array" ref="AF27">IFERROR(INDEX(Strategi!$H$5:$H$134,MATCH(LARGE(Strategi!$K$5:$K$134,22),Strategi!$K$5:$K$134,0)),"")</f>
        <v>2</v>
      </c>
      <c r="AG27" s="3" t="str">
        <f>IFERROR(MATCH(LARGE('Data &amp; Matriks'!$Z$11:$Z$36*10000-ROW('Data &amp; Matriks'!$Z$11:$Z$36),22),'Data &amp; Matriks'!$Z$11:$Z$36*10000-ROW('Data &amp; Matriks'!$Z$11:$Z$36),0),"")</f>
        <v/>
      </c>
    </row>
    <row r="28" ht="24.0" customHeight="1">
      <c r="A28" s="116">
        <f>IFERROR(IF(ISNUMBER(LARGE(Strategi!$K$5:$K$134,23)),23,""),"")</f>
        <v>23</v>
      </c>
      <c r="B28" s="64" t="str">
        <f t="array" ref="B28">IFERROR(INDEX(Strategi!$C$5:$C$134,MATCH(LARGE(Strategi!$K$5:$K$134,23),Strategi!$K$5:$K$134,0)),"")</f>
        <v>Pengajar (Jurupulih Perubatan Carakerja)</v>
      </c>
      <c r="C28" s="64" t="str">
        <f t="array" ref="C28">IFERROR(INDEX(Strategi!$D$5:$D$134,MATCH(LARGE(Strategi!$K$5:$K$134,23),Strategi!$K$5:$K$134,0)),"")</f>
        <v>U9</v>
      </c>
      <c r="D28" s="83" t="str">
        <f t="array" ref="D28">IFERROR(IF(INDEX(Strategi!$G$5:$G$134,MATCH(LARGE(Strategi!$K$5:$K$134,23),Strategi!$K$5:$K$134,0))="","","("&amp;COUNTIFS($B$6:$B28,$B28,$C$6:$C28,$C28)&amp;") "&amp;INDEX(Strategi!$G$5:$G$134,MATCH(LARGE(Strategi!$K$5:$K$134,23),Strategi!$K$5:$K$134,0))),"")</f>
        <v>(1) Conventional</v>
      </c>
      <c r="E28" s="64" t="str">
        <f t="array" ref="E28">IFERROR(INDEX(Strategi!$E$5:$E$134,MATCH(LARGE(Strategi!$K$5:$K$134,23),Strategi!$K$5:$K$134,0)),"")</f>
        <v>RENDAH</v>
      </c>
      <c r="F28" s="141">
        <f t="shared" si="1"/>
        <v>0</v>
      </c>
      <c r="G28" s="142" t="str">
        <f t="shared" si="2"/>
        <v/>
      </c>
      <c r="H28" s="145">
        <v>46235.0</v>
      </c>
      <c r="I28" s="144"/>
      <c r="J28" s="143"/>
      <c r="K28" s="144"/>
      <c r="L28" s="143"/>
      <c r="M28" s="144"/>
      <c r="N28" s="143"/>
      <c r="O28" s="144"/>
      <c r="P28" s="143"/>
      <c r="Q28" s="144"/>
      <c r="R28" s="143">
        <v>46209.0</v>
      </c>
      <c r="S28" s="144"/>
      <c r="T28" s="143">
        <v>46230.0</v>
      </c>
      <c r="U28" s="144"/>
      <c r="V28" s="143"/>
      <c r="W28" s="144"/>
      <c r="X28" s="143">
        <v>46266.0</v>
      </c>
      <c r="Y28" s="144"/>
      <c r="Z28" s="143">
        <v>46337.0</v>
      </c>
      <c r="AA28" s="144"/>
      <c r="AB28" s="143">
        <v>46341.0</v>
      </c>
      <c r="AC28" s="144"/>
      <c r="AD28" s="143">
        <v>46345.0</v>
      </c>
      <c r="AE28" s="144"/>
      <c r="AF28" s="64">
        <f t="array" ref="AF28">IFERROR(INDEX(Strategi!$H$5:$H$134,MATCH(LARGE(Strategi!$K$5:$K$134,23),Strategi!$K$5:$K$134,0)),"")</f>
        <v>2</v>
      </c>
      <c r="AG28" s="3" t="str">
        <f>IFERROR(MATCH(LARGE('Data &amp; Matriks'!$Z$11:$Z$36*10000-ROW('Data &amp; Matriks'!$Z$11:$Z$36),23),'Data &amp; Matriks'!$Z$11:$Z$36*10000-ROW('Data &amp; Matriks'!$Z$11:$Z$36),0),"")</f>
        <v/>
      </c>
    </row>
    <row r="29" ht="24.0" customHeight="1">
      <c r="A29" s="116">
        <f>IFERROR(IF(ISNUMBER(LARGE(Strategi!$K$5:$K$134,24)),24,""),"")</f>
        <v>24</v>
      </c>
      <c r="B29" s="64" t="str">
        <f t="array" ref="B29">IFERROR(INDEX(Strategi!$C$5:$C$134,MATCH(LARGE(Strategi!$K$5:$K$134,24),Strategi!$K$5:$K$134,0)),"")</f>
        <v>Pengajar (Radiografi &amp; Radioterapi - Juru X-Ray)</v>
      </c>
      <c r="C29" s="64" t="str">
        <f t="array" ref="C29">IFERROR(INDEX(Strategi!$D$5:$D$134,MATCH(LARGE(Strategi!$K$5:$K$134,24),Strategi!$K$5:$K$134,0)),"")</f>
        <v>U9</v>
      </c>
      <c r="D29" s="83" t="str">
        <f t="array" ref="D29">IFERROR(IF(INDEX(Strategi!$G$5:$G$134,MATCH(LARGE(Strategi!$K$5:$K$134,24),Strategi!$K$5:$K$134,0))="","","("&amp;COUNTIFS($B$6:$B29,$B29,$C$6:$C29,$C29)&amp;") "&amp;INDEX(Strategi!$G$5:$G$134,MATCH(LARGE(Strategi!$K$5:$K$134,24),Strategi!$K$5:$K$134,0))),"")</f>
        <v>(1) Conventional</v>
      </c>
      <c r="E29" s="64" t="str">
        <f t="array" ref="E29">IFERROR(INDEX(Strategi!$E$5:$E$134,MATCH(LARGE(Strategi!$K$5:$K$134,24),Strategi!$K$5:$K$134,0)),"")</f>
        <v>RENDAH</v>
      </c>
      <c r="F29" s="141">
        <f t="shared" si="1"/>
        <v>0</v>
      </c>
      <c r="G29" s="142" t="str">
        <f t="shared" si="2"/>
        <v/>
      </c>
      <c r="H29" s="145">
        <v>46235.0</v>
      </c>
      <c r="I29" s="144"/>
      <c r="J29" s="143"/>
      <c r="K29" s="144"/>
      <c r="L29" s="143"/>
      <c r="M29" s="144"/>
      <c r="N29" s="143"/>
      <c r="O29" s="144"/>
      <c r="P29" s="143"/>
      <c r="Q29" s="144"/>
      <c r="R29" s="143"/>
      <c r="S29" s="144"/>
      <c r="T29" s="143"/>
      <c r="U29" s="144"/>
      <c r="V29" s="143"/>
      <c r="W29" s="144"/>
      <c r="X29" s="143"/>
      <c r="Y29" s="144"/>
      <c r="Z29" s="143"/>
      <c r="AA29" s="144"/>
      <c r="AB29" s="143"/>
      <c r="AC29" s="144"/>
      <c r="AD29" s="143"/>
      <c r="AE29" s="144"/>
      <c r="AF29" s="64">
        <f t="array" ref="AF29">IFERROR(INDEX(Strategi!$H$5:$H$134,MATCH(LARGE(Strategi!$K$5:$K$134,24),Strategi!$K$5:$K$134,0)),"")</f>
        <v>3</v>
      </c>
      <c r="AG29" s="3" t="str">
        <f>IFERROR(MATCH(LARGE('Data &amp; Matriks'!$Z$11:$Z$36*10000-ROW('Data &amp; Matriks'!$Z$11:$Z$36),24),'Data &amp; Matriks'!$Z$11:$Z$36*10000-ROW('Data &amp; Matriks'!$Z$11:$Z$36),0),"")</f>
        <v/>
      </c>
    </row>
    <row r="30" ht="24.0" customHeight="1">
      <c r="A30" s="116" t="str">
        <f>IFERROR(IF(ISNUMBER(LARGE(Strategi!$K$5:$K$134,25)),25,""),"")</f>
        <v/>
      </c>
      <c r="B30" s="64" t="str">
        <f t="array" ref="B30">IFERROR(INDEX(Strategi!$C$5:$C$134,MATCH(LARGE(Strategi!$K$5:$K$134,25),Strategi!$K$5:$K$134,0)),"")</f>
        <v/>
      </c>
      <c r="C30" s="64" t="str">
        <f t="array" ref="C30">IFERROR(INDEX(Strategi!$D$5:$D$134,MATCH(LARGE(Strategi!$K$5:$K$134,25),Strategi!$K$5:$K$134,0)),"")</f>
        <v/>
      </c>
      <c r="D30" s="83" t="str">
        <f t="array" ref="D30">IFERROR(IF(INDEX(Strategi!$G$5:$G$134,MATCH(LARGE(Strategi!$K$5:$K$134,25),Strategi!$K$5:$K$134,0))="","","("&amp;COUNTIFS($B$6:$B30,$B30,$C$6:$C30,$C30)&amp;") "&amp;INDEX(Strategi!$G$5:$G$134,MATCH(LARGE(Strategi!$K$5:$K$134,25),Strategi!$K$5:$K$134,0))),"")</f>
        <v/>
      </c>
      <c r="E30" s="64" t="str">
        <f t="array" ref="E30">IFERROR(INDEX(Strategi!$E$5:$E$134,MATCH(LARGE(Strategi!$K$5:$K$134,25),Strategi!$K$5:$K$134,0)),"")</f>
        <v/>
      </c>
      <c r="F30" s="141" t="str">
        <f t="shared" si="1"/>
        <v/>
      </c>
      <c r="G30" s="142" t="str">
        <f t="shared" si="2"/>
        <v/>
      </c>
      <c r="H30" s="143"/>
      <c r="I30" s="144"/>
      <c r="J30" s="143"/>
      <c r="K30" s="144"/>
      <c r="L30" s="143"/>
      <c r="M30" s="144"/>
      <c r="N30" s="143"/>
      <c r="O30" s="144"/>
      <c r="P30" s="143"/>
      <c r="Q30" s="144"/>
      <c r="R30" s="143"/>
      <c r="S30" s="144"/>
      <c r="T30" s="143"/>
      <c r="U30" s="144"/>
      <c r="V30" s="143"/>
      <c r="W30" s="144"/>
      <c r="X30" s="143"/>
      <c r="Y30" s="144"/>
      <c r="Z30" s="143"/>
      <c r="AA30" s="144"/>
      <c r="AB30" s="143"/>
      <c r="AC30" s="144"/>
      <c r="AD30" s="143"/>
      <c r="AE30" s="144"/>
      <c r="AF30" s="64" t="str">
        <f t="array" ref="AF30">IFERROR(INDEX(Strategi!$H$5:$H$134,MATCH(LARGE(Strategi!$K$5:$K$134,25),Strategi!$K$5:$K$134,0)),"")</f>
        <v/>
      </c>
      <c r="AG30" s="3" t="str">
        <f>IFERROR(MATCH(LARGE('Data &amp; Matriks'!$Z$11:$Z$36*10000-ROW('Data &amp; Matriks'!$Z$11:$Z$36),25),'Data &amp; Matriks'!$Z$11:$Z$36*10000-ROW('Data &amp; Matriks'!$Z$11:$Z$36),0),"")</f>
        <v/>
      </c>
    </row>
    <row r="31" ht="24.0" customHeight="1">
      <c r="A31" s="116" t="str">
        <f>IFERROR(IF(ISNUMBER(LARGE(Strategi!$K$5:$K$134,26)),26,""),"")</f>
        <v/>
      </c>
      <c r="B31" s="64" t="str">
        <f t="array" ref="B31">IFERROR(INDEX(Strategi!$C$5:$C$134,MATCH(LARGE(Strategi!$K$5:$K$134,26),Strategi!$K$5:$K$134,0)),"")</f>
        <v/>
      </c>
      <c r="C31" s="64" t="str">
        <f t="array" ref="C31">IFERROR(INDEX(Strategi!$D$5:$D$134,MATCH(LARGE(Strategi!$K$5:$K$134,26),Strategi!$K$5:$K$134,0)),"")</f>
        <v/>
      </c>
      <c r="D31" s="83" t="str">
        <f t="array" ref="D31">IFERROR(IF(INDEX(Strategi!$G$5:$G$134,MATCH(LARGE(Strategi!$K$5:$K$134,26),Strategi!$K$5:$K$134,0))="","","("&amp;COUNTIFS($B$6:$B31,$B31,$C$6:$C31,$C31)&amp;") "&amp;INDEX(Strategi!$G$5:$G$134,MATCH(LARGE(Strategi!$K$5:$K$134,26),Strategi!$K$5:$K$134,0))),"")</f>
        <v/>
      </c>
      <c r="E31" s="64" t="str">
        <f t="array" ref="E31">IFERROR(INDEX(Strategi!$E$5:$E$134,MATCH(LARGE(Strategi!$K$5:$K$134,26),Strategi!$K$5:$K$134,0)),"")</f>
        <v/>
      </c>
      <c r="F31" s="141"/>
      <c r="G31" s="142"/>
      <c r="H31" s="143"/>
      <c r="I31" s="144"/>
      <c r="J31" s="143"/>
      <c r="K31" s="144"/>
      <c r="L31" s="143"/>
      <c r="M31" s="144"/>
      <c r="N31" s="143"/>
      <c r="O31" s="144"/>
      <c r="P31" s="143"/>
      <c r="Q31" s="144"/>
      <c r="R31" s="143"/>
      <c r="S31" s="144"/>
      <c r="T31" s="143"/>
      <c r="U31" s="144"/>
      <c r="V31" s="143"/>
      <c r="W31" s="144"/>
      <c r="X31" s="143"/>
      <c r="Y31" s="144"/>
      <c r="Z31" s="143"/>
      <c r="AA31" s="144"/>
      <c r="AB31" s="143"/>
      <c r="AC31" s="144"/>
      <c r="AD31" s="143"/>
      <c r="AE31" s="144"/>
      <c r="AF31" s="64"/>
      <c r="AG31" s="3" t="str">
        <f>IFERROR(MATCH(LARGE('Data &amp; Matriks'!$Z$11:$Z$36*10000-ROW('Data &amp; Matriks'!$Z$11:$Z$36),26),'Data &amp; Matriks'!$Z$11:$Z$36*10000-ROW('Data &amp; Matriks'!$Z$11:$Z$36),0),"")</f>
        <v/>
      </c>
    </row>
    <row r="32" ht="24.0" customHeight="1">
      <c r="A32" s="64" t="str">
        <f>IFERROR(IF(ISNUMBER(LARGE(Strategi!$K$5:$K$134,27)),27,""),"")</f>
        <v/>
      </c>
      <c r="B32" s="83" t="str">
        <f t="array" ref="B32">IFERROR(INDEX(Strategi!$C$5:$C$134,MATCH(LARGE(Strategi!$K$5:$K$134,27),Strategi!$K$5:$K$134,0)),"")</f>
        <v/>
      </c>
      <c r="C32" s="64" t="str">
        <f t="array" ref="C32">IFERROR(INDEX(Strategi!$D$5:$D$134,MATCH(LARGE(Strategi!$K$5:$K$134,27),Strategi!$K$5:$K$134,0)),"")</f>
        <v/>
      </c>
      <c r="D32" s="83" t="str">
        <f t="array" ref="D32">IFERROR(IF(INDEX(Strategi!$G$5:$G$134,MATCH(LARGE(Strategi!$K$5:$K$134,27),Strategi!$K$5:$K$134,0))="","","("&amp;COUNTIFS($B$6:$B32,$B32,$C$6:$C32,$C32)&amp;") "&amp;INDEX(Strategi!$G$5:$G$134,MATCH(LARGE(Strategi!$K$5:$K$134,27),Strategi!$K$5:$K$134,0))),"")</f>
        <v/>
      </c>
      <c r="E32" s="64" t="str">
        <f t="array" ref="E32">IFERROR(INDEX(Strategi!$E$5:$E$134,MATCH(LARGE(Strategi!$K$5:$K$134,27),Strategi!$K$5:$K$134,0)),"")</f>
        <v/>
      </c>
      <c r="F32" s="141"/>
      <c r="G32" s="142"/>
      <c r="H32" s="143"/>
      <c r="I32" s="144"/>
      <c r="J32" s="143"/>
      <c r="K32" s="144"/>
      <c r="L32" s="143"/>
      <c r="M32" s="144"/>
      <c r="N32" s="143"/>
      <c r="O32" s="144"/>
      <c r="P32" s="143"/>
      <c r="Q32" s="144"/>
      <c r="R32" s="143"/>
      <c r="S32" s="144"/>
      <c r="T32" s="143"/>
      <c r="U32" s="144"/>
      <c r="V32" s="143"/>
      <c r="W32" s="144"/>
      <c r="X32" s="143"/>
      <c r="Y32" s="144"/>
      <c r="Z32" s="143"/>
      <c r="AA32" s="144"/>
      <c r="AB32" s="143"/>
      <c r="AC32" s="144"/>
      <c r="AD32" s="143"/>
      <c r="AE32" s="144"/>
      <c r="AF32" s="64"/>
      <c r="AG32" s="3"/>
    </row>
    <row r="33" ht="24.0" customHeight="1">
      <c r="A33" s="64" t="str">
        <f>IFERROR(IF(ISNUMBER(LARGE(Strategi!$K$5:$K$134,28)),28,""),"")</f>
        <v/>
      </c>
      <c r="B33" s="83" t="str">
        <f t="array" ref="B33">IFERROR(INDEX(Strategi!$C$5:$C$134,MATCH(LARGE(Strategi!$K$5:$K$134,28),Strategi!$K$5:$K$134,0)),"")</f>
        <v/>
      </c>
      <c r="C33" s="64" t="str">
        <f t="array" ref="C33">IFERROR(INDEX(Strategi!$D$5:$D$134,MATCH(LARGE(Strategi!$K$5:$K$134,28),Strategi!$K$5:$K$134,0)),"")</f>
        <v/>
      </c>
      <c r="D33" s="83" t="str">
        <f t="array" ref="D33">IFERROR(IF(INDEX(Strategi!$G$5:$G$134,MATCH(LARGE(Strategi!$K$5:$K$134,28),Strategi!$K$5:$K$134,0))="","","("&amp;COUNTIFS($B$6:$B33,$B33,$C$6:$C33,$C33)&amp;") "&amp;INDEX(Strategi!$G$5:$G$134,MATCH(LARGE(Strategi!$K$5:$K$134,28),Strategi!$K$5:$K$134,0))),"")</f>
        <v/>
      </c>
      <c r="E33" s="64" t="str">
        <f t="array" ref="E33">IFERROR(INDEX(Strategi!$E$5:$E$134,MATCH(LARGE(Strategi!$K$5:$K$134,28),Strategi!$K$5:$K$134,0)),"")</f>
        <v/>
      </c>
      <c r="F33" s="141"/>
      <c r="G33" s="142"/>
      <c r="H33" s="143"/>
      <c r="I33" s="144"/>
      <c r="J33" s="143"/>
      <c r="K33" s="144"/>
      <c r="L33" s="143"/>
      <c r="M33" s="144"/>
      <c r="N33" s="143"/>
      <c r="O33" s="144"/>
      <c r="P33" s="143"/>
      <c r="Q33" s="144"/>
      <c r="R33" s="143"/>
      <c r="S33" s="144"/>
      <c r="T33" s="143"/>
      <c r="U33" s="144"/>
      <c r="V33" s="143"/>
      <c r="W33" s="144"/>
      <c r="X33" s="143"/>
      <c r="Y33" s="144"/>
      <c r="Z33" s="143"/>
      <c r="AA33" s="144"/>
      <c r="AB33" s="143"/>
      <c r="AC33" s="144"/>
      <c r="AD33" s="143"/>
      <c r="AE33" s="144"/>
      <c r="AF33" s="64"/>
      <c r="AG33" s="3"/>
    </row>
    <row r="34" ht="24.0" customHeight="1">
      <c r="A34" s="64" t="str">
        <f>IFERROR(IF(ISNUMBER(LARGE(Strategi!$K$5:$K$134,29)),29,""),"")</f>
        <v/>
      </c>
      <c r="B34" s="83" t="str">
        <f t="array" ref="B34">IFERROR(INDEX(Strategi!$C$5:$C$134,MATCH(LARGE(Strategi!$K$5:$K$134,29),Strategi!$K$5:$K$134,0)),"")</f>
        <v/>
      </c>
      <c r="C34" s="64" t="str">
        <f t="array" ref="C34">IFERROR(INDEX(Strategi!$D$5:$D$134,MATCH(LARGE(Strategi!$K$5:$K$134,29),Strategi!$K$5:$K$134,0)),"")</f>
        <v/>
      </c>
      <c r="D34" s="83" t="str">
        <f t="array" ref="D34">IFERROR(IF(INDEX(Strategi!$G$5:$G$134,MATCH(LARGE(Strategi!$K$5:$K$134,29),Strategi!$K$5:$K$134,0))="","","("&amp;COUNTIFS($B$6:$B34,$B34,$C$6:$C34,$C34)&amp;") "&amp;INDEX(Strategi!$G$5:$G$134,MATCH(LARGE(Strategi!$K$5:$K$134,29),Strategi!$K$5:$K$134,0))),"")</f>
        <v/>
      </c>
      <c r="E34" s="64" t="str">
        <f t="array" ref="E34">IFERROR(INDEX(Strategi!$E$5:$E$134,MATCH(LARGE(Strategi!$K$5:$K$134,29),Strategi!$K$5:$K$134,0)),"")</f>
        <v/>
      </c>
      <c r="F34" s="141"/>
      <c r="G34" s="142"/>
      <c r="H34" s="143"/>
      <c r="I34" s="144"/>
      <c r="J34" s="143"/>
      <c r="K34" s="144"/>
      <c r="L34" s="143"/>
      <c r="M34" s="144"/>
      <c r="N34" s="143"/>
      <c r="O34" s="144"/>
      <c r="P34" s="143"/>
      <c r="Q34" s="144"/>
      <c r="R34" s="143"/>
      <c r="S34" s="144"/>
      <c r="T34" s="143"/>
      <c r="U34" s="144"/>
      <c r="V34" s="143"/>
      <c r="W34" s="144"/>
      <c r="X34" s="143"/>
      <c r="Y34" s="144"/>
      <c r="Z34" s="143"/>
      <c r="AA34" s="144"/>
      <c r="AB34" s="143"/>
      <c r="AC34" s="144"/>
      <c r="AD34" s="143"/>
      <c r="AE34" s="144"/>
      <c r="AF34" s="64"/>
      <c r="AG34" s="3"/>
    </row>
    <row r="35" ht="24.0" customHeight="1">
      <c r="A35" s="64" t="str">
        <f>IFERROR(IF(ISNUMBER(LARGE(Strategi!$K$5:$K$134,30)),30,""),"")</f>
        <v/>
      </c>
      <c r="B35" s="83" t="str">
        <f t="array" ref="B35">IFERROR(INDEX(Strategi!$C$5:$C$134,MATCH(LARGE(Strategi!$K$5:$K$134,30),Strategi!$K$5:$K$134,0)),"")</f>
        <v/>
      </c>
      <c r="C35" s="64" t="str">
        <f t="array" ref="C35">IFERROR(INDEX(Strategi!$D$5:$D$134,MATCH(LARGE(Strategi!$K$5:$K$134,30),Strategi!$K$5:$K$134,0)),"")</f>
        <v/>
      </c>
      <c r="D35" s="83" t="str">
        <f t="array" ref="D35">IFERROR(IF(INDEX(Strategi!$G$5:$G$134,MATCH(LARGE(Strategi!$K$5:$K$134,30),Strategi!$K$5:$K$134,0))="","","("&amp;COUNTIFS($B$6:$B35,$B35,$C$6:$C35,$C35)&amp;") "&amp;INDEX(Strategi!$G$5:$G$134,MATCH(LARGE(Strategi!$K$5:$K$134,30),Strategi!$K$5:$K$134,0))),"")</f>
        <v/>
      </c>
      <c r="E35" s="64" t="str">
        <f t="array" ref="E35">IFERROR(INDEX(Strategi!$E$5:$E$134,MATCH(LARGE(Strategi!$K$5:$K$134,30),Strategi!$K$5:$K$134,0)),"")</f>
        <v/>
      </c>
      <c r="F35" s="141"/>
      <c r="G35" s="142"/>
      <c r="H35" s="143"/>
      <c r="I35" s="144"/>
      <c r="J35" s="143"/>
      <c r="K35" s="144"/>
      <c r="L35" s="143"/>
      <c r="M35" s="144"/>
      <c r="N35" s="143"/>
      <c r="O35" s="144"/>
      <c r="P35" s="143"/>
      <c r="Q35" s="144"/>
      <c r="R35" s="143"/>
      <c r="S35" s="144"/>
      <c r="T35" s="143"/>
      <c r="U35" s="144"/>
      <c r="V35" s="143"/>
      <c r="W35" s="144"/>
      <c r="X35" s="143"/>
      <c r="Y35" s="144"/>
      <c r="Z35" s="143"/>
      <c r="AA35" s="144"/>
      <c r="AB35" s="143"/>
      <c r="AC35" s="144"/>
      <c r="AD35" s="143"/>
      <c r="AE35" s="144"/>
      <c r="AF35" s="64"/>
      <c r="AG35" s="3"/>
    </row>
    <row r="36" ht="24.0" customHeight="1">
      <c r="A36" s="64" t="str">
        <f>IFERROR(IF(ISNUMBER(LARGE(Strategi!$K$5:$K$134,31)),31,""),"")</f>
        <v/>
      </c>
      <c r="B36" s="83" t="str">
        <f t="array" ref="B36">IFERROR(INDEX(Strategi!$C$5:$C$134,MATCH(LARGE(Strategi!$K$5:$K$134,31),Strategi!$K$5:$K$134,0)),"")</f>
        <v/>
      </c>
      <c r="C36" s="64" t="str">
        <f t="array" ref="C36">IFERROR(INDEX(Strategi!$D$5:$D$134,MATCH(LARGE(Strategi!$K$5:$K$134,31),Strategi!$K$5:$K$134,0)),"")</f>
        <v/>
      </c>
      <c r="D36" s="83" t="str">
        <f t="array" ref="D36">IFERROR(IF(INDEX(Strategi!$G$5:$G$134,MATCH(LARGE(Strategi!$K$5:$K$134,31),Strategi!$K$5:$K$134,0))="","","("&amp;COUNTIFS($B$6:$B36,$B36,$C$6:$C36,$C36)&amp;") "&amp;INDEX(Strategi!$G$5:$G$134,MATCH(LARGE(Strategi!$K$5:$K$134,31),Strategi!$K$5:$K$134,0))),"")</f>
        <v/>
      </c>
      <c r="E36" s="64" t="str">
        <f t="array" ref="E36">IFERROR(INDEX(Strategi!$E$5:$E$134,MATCH(LARGE(Strategi!$K$5:$K$134,31),Strategi!$K$5:$K$134,0)),"")</f>
        <v/>
      </c>
      <c r="F36" s="141"/>
      <c r="G36" s="142"/>
      <c r="H36" s="143"/>
      <c r="I36" s="144"/>
      <c r="J36" s="143"/>
      <c r="K36" s="144"/>
      <c r="L36" s="143"/>
      <c r="M36" s="144"/>
      <c r="N36" s="143"/>
      <c r="O36" s="144"/>
      <c r="P36" s="143"/>
      <c r="Q36" s="144"/>
      <c r="R36" s="143"/>
      <c r="S36" s="144"/>
      <c r="T36" s="143"/>
      <c r="U36" s="144"/>
      <c r="V36" s="143"/>
      <c r="W36" s="144"/>
      <c r="X36" s="143"/>
      <c r="Y36" s="144"/>
      <c r="Z36" s="143"/>
      <c r="AA36" s="144"/>
      <c r="AB36" s="143"/>
      <c r="AC36" s="144"/>
      <c r="AD36" s="143"/>
      <c r="AE36" s="144"/>
      <c r="AF36" s="64"/>
      <c r="AG36" s="3"/>
    </row>
    <row r="37" ht="24.0" customHeight="1">
      <c r="A37" s="64" t="str">
        <f>IFERROR(IF(ISNUMBER(LARGE(Strategi!$K$5:$K$134,32)),32,""),"")</f>
        <v/>
      </c>
      <c r="B37" s="83" t="str">
        <f t="array" ref="B37">IFERROR(INDEX(Strategi!$C$5:$C$134,MATCH(LARGE(Strategi!$K$5:$K$134,32),Strategi!$K$5:$K$134,0)),"")</f>
        <v/>
      </c>
      <c r="C37" s="64" t="str">
        <f t="array" ref="C37">IFERROR(INDEX(Strategi!$D$5:$D$134,MATCH(LARGE(Strategi!$K$5:$K$134,32),Strategi!$K$5:$K$134,0)),"")</f>
        <v/>
      </c>
      <c r="D37" s="83" t="str">
        <f t="array" ref="D37">IFERROR(IF(INDEX(Strategi!$G$5:$G$134,MATCH(LARGE(Strategi!$K$5:$K$134,32),Strategi!$K$5:$K$134,0))="","","("&amp;COUNTIFS($B$6:$B37,$B37,$C$6:$C37,$C37)&amp;") "&amp;INDEX(Strategi!$G$5:$G$134,MATCH(LARGE(Strategi!$K$5:$K$134,32),Strategi!$K$5:$K$134,0))),"")</f>
        <v/>
      </c>
      <c r="E37" s="64" t="str">
        <f t="array" ref="E37">IFERROR(INDEX(Strategi!$E$5:$E$134,MATCH(LARGE(Strategi!$K$5:$K$134,32),Strategi!$K$5:$K$134,0)),"")</f>
        <v/>
      </c>
      <c r="F37" s="141"/>
      <c r="G37" s="142"/>
      <c r="H37" s="143"/>
      <c r="I37" s="144"/>
      <c r="J37" s="143"/>
      <c r="K37" s="144"/>
      <c r="L37" s="143"/>
      <c r="M37" s="144"/>
      <c r="N37" s="143"/>
      <c r="O37" s="144"/>
      <c r="P37" s="143"/>
      <c r="Q37" s="144"/>
      <c r="R37" s="143"/>
      <c r="S37" s="144"/>
      <c r="T37" s="143"/>
      <c r="U37" s="144"/>
      <c r="V37" s="143"/>
      <c r="W37" s="144"/>
      <c r="X37" s="143"/>
      <c r="Y37" s="144"/>
      <c r="Z37" s="143"/>
      <c r="AA37" s="144"/>
      <c r="AB37" s="143"/>
      <c r="AC37" s="144"/>
      <c r="AD37" s="143"/>
      <c r="AE37" s="144"/>
      <c r="AF37" s="64" t="str">
        <f t="array" ref="AF37">IFERROR(INDEX(Strategi!$H$5:$H$134,MATCH(LARGE(Strategi!$K$5:$K$134,32),Strategi!$K$5:$K$134,0)),"")</f>
        <v/>
      </c>
      <c r="AG37" s="3"/>
    </row>
    <row r="38" ht="24.0" customHeight="1">
      <c r="A38" s="64" t="str">
        <f>IFERROR(IF(ISNUMBER(LARGE(Strategi!$K$5:$K$134,33)),33,""),"")</f>
        <v/>
      </c>
      <c r="B38" s="83" t="str">
        <f t="array" ref="B38">IFERROR(INDEX(Strategi!$C$5:$C$134,MATCH(LARGE(Strategi!$K$5:$K$134,33),Strategi!$K$5:$K$134,0)),"")</f>
        <v/>
      </c>
      <c r="C38" s="64" t="str">
        <f t="array" ref="C38">IFERROR(INDEX(Strategi!$D$5:$D$134,MATCH(LARGE(Strategi!$K$5:$K$134,33),Strategi!$K$5:$K$134,0)),"")</f>
        <v/>
      </c>
      <c r="D38" s="83" t="str">
        <f t="array" ref="D38">IFERROR(IF(INDEX(Strategi!$G$5:$G$134,MATCH(LARGE(Strategi!$K$5:$K$134,33),Strategi!$K$5:$K$134,0))="","","("&amp;COUNTIFS($B$6:$B38,$B38,$C$6:$C38,$C38)&amp;") "&amp;INDEX(Strategi!$G$5:$G$134,MATCH(LARGE(Strategi!$K$5:$K$134,33),Strategi!$K$5:$K$134,0))),"")</f>
        <v/>
      </c>
      <c r="E38" s="64" t="str">
        <f t="array" ref="E38">IFERROR(INDEX(Strategi!$E$5:$E$134,MATCH(LARGE(Strategi!$K$5:$K$134,33),Strategi!$K$5:$K$134,0)),"")</f>
        <v/>
      </c>
      <c r="F38" s="141" t="str">
        <f t="shared" ref="F38:F135" si="3">IFERROR(IF(COUNT(H38,J38,L38,N38,P38,R38,T38,V38,X38,Z38,AB38,AD38)=0,"",COUNT(I38,K38,M38,O38,Q38,S38,U38,W38,Y38,AA38,AC38,AE38)/COUNT(H38,J38,L38,N38,P38,R38,T38,V38,X38,Z38,AB38,AD38)),"")</f>
        <v/>
      </c>
      <c r="G38" s="142" t="str">
        <f t="shared" ref="G38:G135" si="4">IFERROR(IF(ISNUMBER(AE38),$AD$3,IF(ISNUMBER(AC38),$AB$3,IF(ISNUMBER(AA38),$Z$3,IF(ISNUMBER(Y38),$X$3,IF(ISNUMBER(W38),$V$3,IF(ISNUMBER(U38),$T$3,IF(ISNUMBER(S38),$R$3,IF(ISNUMBER(Q38),$P$3,IF(ISNUMBER(O38),$N$3,IF(ISNUMBER(M38),$L$3,IF(ISNUMBER(K38),$J$3,IF(ISNUMBER(I38),$H$3,"")))))))))))),"")</f>
        <v/>
      </c>
      <c r="H38" s="143"/>
      <c r="I38" s="144"/>
      <c r="J38" s="143"/>
      <c r="K38" s="144"/>
      <c r="L38" s="143"/>
      <c r="M38" s="144"/>
      <c r="N38" s="143"/>
      <c r="O38" s="144"/>
      <c r="P38" s="143"/>
      <c r="Q38" s="144"/>
      <c r="R38" s="143"/>
      <c r="S38" s="144"/>
      <c r="T38" s="143"/>
      <c r="U38" s="144"/>
      <c r="V38" s="143"/>
      <c r="W38" s="144"/>
      <c r="X38" s="143"/>
      <c r="Y38" s="144"/>
      <c r="Z38" s="143"/>
      <c r="AA38" s="144"/>
      <c r="AB38" s="143"/>
      <c r="AC38" s="144"/>
      <c r="AD38" s="143"/>
      <c r="AE38" s="144"/>
      <c r="AF38" s="64" t="str">
        <f t="array" ref="AF38">IFERROR(INDEX(Strategi!$H$5:$H$134,MATCH(LARGE(Strategi!$K$5:$K$134,33),Strategi!$K$5:$K$134,0)),"")</f>
        <v/>
      </c>
      <c r="AG38" s="3"/>
    </row>
    <row r="39" ht="24.0" customHeight="1">
      <c r="A39" s="64" t="str">
        <f>IFERROR(IF(ISNUMBER(LARGE(Strategi!$K$5:$K$134,34)),34,""),"")</f>
        <v/>
      </c>
      <c r="B39" s="83" t="str">
        <f t="array" ref="B39">IFERROR(INDEX(Strategi!$C$5:$C$134,MATCH(LARGE(Strategi!$K$5:$K$134,34),Strategi!$K$5:$K$134,0)),"")</f>
        <v/>
      </c>
      <c r="C39" s="64" t="str">
        <f t="array" ref="C39">IFERROR(INDEX(Strategi!$D$5:$D$134,MATCH(LARGE(Strategi!$K$5:$K$134,34),Strategi!$K$5:$K$134,0)),"")</f>
        <v/>
      </c>
      <c r="D39" s="83" t="str">
        <f t="array" ref="D39">IFERROR(IF(INDEX(Strategi!$G$5:$G$134,MATCH(LARGE(Strategi!$K$5:$K$134,34),Strategi!$K$5:$K$134,0))="","","("&amp;COUNTIFS($B$6:$B39,$B39,$C$6:$C39,$C39)&amp;") "&amp;INDEX(Strategi!$G$5:$G$134,MATCH(LARGE(Strategi!$K$5:$K$134,34),Strategi!$K$5:$K$134,0))),"")</f>
        <v/>
      </c>
      <c r="E39" s="64" t="str">
        <f t="array" ref="E39">IFERROR(INDEX(Strategi!$E$5:$E$134,MATCH(LARGE(Strategi!$K$5:$K$134,34),Strategi!$K$5:$K$134,0)),"")</f>
        <v/>
      </c>
      <c r="F39" s="141" t="str">
        <f t="shared" si="3"/>
        <v/>
      </c>
      <c r="G39" s="142" t="str">
        <f t="shared" si="4"/>
        <v/>
      </c>
      <c r="H39" s="143"/>
      <c r="I39" s="144"/>
      <c r="J39" s="143"/>
      <c r="K39" s="144"/>
      <c r="L39" s="143"/>
      <c r="M39" s="144"/>
      <c r="N39" s="143"/>
      <c r="O39" s="144"/>
      <c r="P39" s="143"/>
      <c r="Q39" s="144"/>
      <c r="R39" s="143"/>
      <c r="S39" s="144"/>
      <c r="T39" s="143"/>
      <c r="U39" s="144"/>
      <c r="V39" s="143"/>
      <c r="W39" s="144"/>
      <c r="X39" s="143"/>
      <c r="Y39" s="144"/>
      <c r="Z39" s="143"/>
      <c r="AA39" s="144"/>
      <c r="AB39" s="143"/>
      <c r="AC39" s="144"/>
      <c r="AD39" s="143"/>
      <c r="AE39" s="144"/>
      <c r="AF39" s="64" t="str">
        <f t="array" ref="AF39">IFERROR(INDEX(Strategi!$H$5:$H$134,MATCH(LARGE(Strategi!$K$5:$K$134,34),Strategi!$K$5:$K$134,0)),"")</f>
        <v/>
      </c>
      <c r="AG39" s="3"/>
    </row>
    <row r="40" ht="24.0" customHeight="1">
      <c r="A40" s="64" t="str">
        <f>IFERROR(IF(ISNUMBER(LARGE(Strategi!$K$5:$K$134,35)),35,""),"")</f>
        <v/>
      </c>
      <c r="B40" s="83" t="str">
        <f t="array" ref="B40">IFERROR(INDEX(Strategi!$C$5:$C$134,MATCH(LARGE(Strategi!$K$5:$K$134,35),Strategi!$K$5:$K$134,0)),"")</f>
        <v/>
      </c>
      <c r="C40" s="64" t="str">
        <f t="array" ref="C40">IFERROR(INDEX(Strategi!$D$5:$D$134,MATCH(LARGE(Strategi!$K$5:$K$134,35),Strategi!$K$5:$K$134,0)),"")</f>
        <v/>
      </c>
      <c r="D40" s="83" t="str">
        <f t="array" ref="D40">IFERROR(IF(INDEX(Strategi!$G$5:$G$134,MATCH(LARGE(Strategi!$K$5:$K$134,35),Strategi!$K$5:$K$134,0))="","","("&amp;COUNTIFS($B$6:$B40,$B40,$C$6:$C40,$C40)&amp;") "&amp;INDEX(Strategi!$G$5:$G$134,MATCH(LARGE(Strategi!$K$5:$K$134,35),Strategi!$K$5:$K$134,0))),"")</f>
        <v/>
      </c>
      <c r="E40" s="64" t="str">
        <f t="array" ref="E40">IFERROR(INDEX(Strategi!$E$5:$E$134,MATCH(LARGE(Strategi!$K$5:$K$134,35),Strategi!$K$5:$K$134,0)),"")</f>
        <v/>
      </c>
      <c r="F40" s="141" t="str">
        <f t="shared" si="3"/>
        <v/>
      </c>
      <c r="G40" s="142" t="str">
        <f t="shared" si="4"/>
        <v/>
      </c>
      <c r="H40" s="143"/>
      <c r="I40" s="144"/>
      <c r="J40" s="143"/>
      <c r="K40" s="144"/>
      <c r="L40" s="143"/>
      <c r="M40" s="144"/>
      <c r="N40" s="143"/>
      <c r="O40" s="144"/>
      <c r="P40" s="143"/>
      <c r="Q40" s="144"/>
      <c r="R40" s="143"/>
      <c r="S40" s="144"/>
      <c r="T40" s="143"/>
      <c r="U40" s="144"/>
      <c r="V40" s="143"/>
      <c r="W40" s="144"/>
      <c r="X40" s="143"/>
      <c r="Y40" s="144"/>
      <c r="Z40" s="143"/>
      <c r="AA40" s="144"/>
      <c r="AB40" s="143"/>
      <c r="AC40" s="144"/>
      <c r="AD40" s="143"/>
      <c r="AE40" s="144"/>
      <c r="AF40" s="64" t="str">
        <f t="array" ref="AF40">IFERROR(INDEX(Strategi!$H$5:$H$134,MATCH(LARGE(Strategi!$K$5:$K$134,35),Strategi!$K$5:$K$134,0)),"")</f>
        <v/>
      </c>
      <c r="AG40" s="3"/>
    </row>
    <row r="41" ht="24.0" customHeight="1">
      <c r="A41" s="64" t="str">
        <f>IFERROR(IF(ISNUMBER(LARGE(Strategi!$K$5:$K$134,36)),36,""),"")</f>
        <v/>
      </c>
      <c r="B41" s="83" t="str">
        <f t="array" ref="B41">IFERROR(INDEX(Strategi!$C$5:$C$134,MATCH(LARGE(Strategi!$K$5:$K$134,36),Strategi!$K$5:$K$134,0)),"")</f>
        <v/>
      </c>
      <c r="C41" s="64" t="str">
        <f t="array" ref="C41">IFERROR(INDEX(Strategi!$D$5:$D$134,MATCH(LARGE(Strategi!$K$5:$K$134,36),Strategi!$K$5:$K$134,0)),"")</f>
        <v/>
      </c>
      <c r="D41" s="83" t="str">
        <f t="array" ref="D41">IFERROR(IF(INDEX(Strategi!$G$5:$G$134,MATCH(LARGE(Strategi!$K$5:$K$134,36),Strategi!$K$5:$K$134,0))="","","("&amp;COUNTIFS($B$6:$B41,$B41,$C$6:$C41,$C41)&amp;") "&amp;INDEX(Strategi!$G$5:$G$134,MATCH(LARGE(Strategi!$K$5:$K$134,36),Strategi!$K$5:$K$134,0))),"")</f>
        <v/>
      </c>
      <c r="E41" s="64" t="str">
        <f t="array" ref="E41">IFERROR(INDEX(Strategi!$E$5:$E$134,MATCH(LARGE(Strategi!$K$5:$K$134,36),Strategi!$K$5:$K$134,0)),"")</f>
        <v/>
      </c>
      <c r="F41" s="141" t="str">
        <f t="shared" si="3"/>
        <v/>
      </c>
      <c r="G41" s="142" t="str">
        <f t="shared" si="4"/>
        <v/>
      </c>
      <c r="H41" s="143"/>
      <c r="I41" s="144"/>
      <c r="J41" s="143"/>
      <c r="K41" s="144"/>
      <c r="L41" s="143"/>
      <c r="M41" s="144"/>
      <c r="N41" s="143"/>
      <c r="O41" s="144"/>
      <c r="P41" s="143"/>
      <c r="Q41" s="144"/>
      <c r="R41" s="143"/>
      <c r="S41" s="144"/>
      <c r="T41" s="143"/>
      <c r="U41" s="144"/>
      <c r="V41" s="143"/>
      <c r="W41" s="144"/>
      <c r="X41" s="143"/>
      <c r="Y41" s="144"/>
      <c r="Z41" s="143"/>
      <c r="AA41" s="144"/>
      <c r="AB41" s="143"/>
      <c r="AC41" s="144"/>
      <c r="AD41" s="143"/>
      <c r="AE41" s="144"/>
      <c r="AF41" s="64" t="str">
        <f t="array" ref="AF41">IFERROR(INDEX(Strategi!$H$5:$H$134,MATCH(LARGE(Strategi!$K$5:$K$134,36),Strategi!$K$5:$K$134,0)),"")</f>
        <v/>
      </c>
      <c r="AG41" s="3"/>
    </row>
    <row r="42" ht="24.0" customHeight="1">
      <c r="A42" s="64" t="str">
        <f>IFERROR(IF(ISNUMBER(LARGE(Strategi!$K$5:$K$134,37)),37,""),"")</f>
        <v/>
      </c>
      <c r="B42" s="83" t="str">
        <f t="array" ref="B42">IFERROR(INDEX(Strategi!$C$5:$C$134,MATCH(LARGE(Strategi!$K$5:$K$134,37),Strategi!$K$5:$K$134,0)),"")</f>
        <v/>
      </c>
      <c r="C42" s="64" t="str">
        <f t="array" ref="C42">IFERROR(INDEX(Strategi!$D$5:$D$134,MATCH(LARGE(Strategi!$K$5:$K$134,37),Strategi!$K$5:$K$134,0)),"")</f>
        <v/>
      </c>
      <c r="D42" s="83" t="str">
        <f t="array" ref="D42">IFERROR(IF(INDEX(Strategi!$G$5:$G$134,MATCH(LARGE(Strategi!$K$5:$K$134,37),Strategi!$K$5:$K$134,0))="","","("&amp;COUNTIFS($B$6:$B42,$B42,$C$6:$C42,$C42)&amp;") "&amp;INDEX(Strategi!$G$5:$G$134,MATCH(LARGE(Strategi!$K$5:$K$134,37),Strategi!$K$5:$K$134,0))),"")</f>
        <v/>
      </c>
      <c r="E42" s="64" t="str">
        <f t="array" ref="E42">IFERROR(INDEX(Strategi!$E$5:$E$134,MATCH(LARGE(Strategi!$K$5:$K$134,37),Strategi!$K$5:$K$134,0)),"")</f>
        <v/>
      </c>
      <c r="F42" s="141" t="str">
        <f t="shared" si="3"/>
        <v/>
      </c>
      <c r="G42" s="142" t="str">
        <f t="shared" si="4"/>
        <v/>
      </c>
      <c r="H42" s="143"/>
      <c r="I42" s="144"/>
      <c r="J42" s="143"/>
      <c r="K42" s="144"/>
      <c r="L42" s="143"/>
      <c r="M42" s="144"/>
      <c r="N42" s="143"/>
      <c r="O42" s="144"/>
      <c r="P42" s="143"/>
      <c r="Q42" s="144"/>
      <c r="R42" s="143"/>
      <c r="S42" s="144"/>
      <c r="T42" s="143"/>
      <c r="U42" s="144"/>
      <c r="V42" s="143"/>
      <c r="W42" s="144"/>
      <c r="X42" s="143"/>
      <c r="Y42" s="144"/>
      <c r="Z42" s="143"/>
      <c r="AA42" s="144"/>
      <c r="AB42" s="143"/>
      <c r="AC42" s="144"/>
      <c r="AD42" s="143"/>
      <c r="AE42" s="144"/>
      <c r="AF42" s="64" t="str">
        <f t="array" ref="AF42">IFERROR(INDEX(Strategi!$H$5:$H$134,MATCH(LARGE(Strategi!$K$5:$K$134,37),Strategi!$K$5:$K$134,0)),"")</f>
        <v/>
      </c>
      <c r="AG42" s="3"/>
    </row>
    <row r="43" ht="24.0" customHeight="1">
      <c r="A43" s="64" t="str">
        <f>IFERROR(IF(ISNUMBER(LARGE(Strategi!$K$5:$K$134,38)),38,""),"")</f>
        <v/>
      </c>
      <c r="B43" s="83" t="str">
        <f t="array" ref="B43">IFERROR(INDEX(Strategi!$C$5:$C$134,MATCH(LARGE(Strategi!$K$5:$K$134,38),Strategi!$K$5:$K$134,0)),"")</f>
        <v/>
      </c>
      <c r="C43" s="64" t="str">
        <f t="array" ref="C43">IFERROR(INDEX(Strategi!$D$5:$D$134,MATCH(LARGE(Strategi!$K$5:$K$134,38),Strategi!$K$5:$K$134,0)),"")</f>
        <v/>
      </c>
      <c r="D43" s="83" t="str">
        <f t="array" ref="D43">IFERROR(IF(INDEX(Strategi!$G$5:$G$134,MATCH(LARGE(Strategi!$K$5:$K$134,38),Strategi!$K$5:$K$134,0))="","","("&amp;COUNTIFS($B$6:$B43,$B43,$C$6:$C43,$C43)&amp;") "&amp;INDEX(Strategi!$G$5:$G$134,MATCH(LARGE(Strategi!$K$5:$K$134,38),Strategi!$K$5:$K$134,0))),"")</f>
        <v/>
      </c>
      <c r="E43" s="64" t="str">
        <f t="array" ref="E43">IFERROR(INDEX(Strategi!$E$5:$E$134,MATCH(LARGE(Strategi!$K$5:$K$134,38),Strategi!$K$5:$K$134,0)),"")</f>
        <v/>
      </c>
      <c r="F43" s="141" t="str">
        <f t="shared" si="3"/>
        <v/>
      </c>
      <c r="G43" s="142" t="str">
        <f t="shared" si="4"/>
        <v/>
      </c>
      <c r="H43" s="143"/>
      <c r="I43" s="144"/>
      <c r="J43" s="143"/>
      <c r="K43" s="144"/>
      <c r="L43" s="143"/>
      <c r="M43" s="144"/>
      <c r="N43" s="143"/>
      <c r="O43" s="144"/>
      <c r="P43" s="143"/>
      <c r="Q43" s="144"/>
      <c r="R43" s="143"/>
      <c r="S43" s="144"/>
      <c r="T43" s="143"/>
      <c r="U43" s="144"/>
      <c r="V43" s="143"/>
      <c r="W43" s="144"/>
      <c r="X43" s="143"/>
      <c r="Y43" s="144"/>
      <c r="Z43" s="143"/>
      <c r="AA43" s="144"/>
      <c r="AB43" s="143"/>
      <c r="AC43" s="144"/>
      <c r="AD43" s="143"/>
      <c r="AE43" s="144"/>
      <c r="AF43" s="64" t="str">
        <f t="array" ref="AF43">IFERROR(INDEX(Strategi!$H$5:$H$134,MATCH(LARGE(Strategi!$K$5:$K$134,38),Strategi!$K$5:$K$134,0)),"")</f>
        <v/>
      </c>
      <c r="AG43" s="3"/>
    </row>
    <row r="44" ht="24.0" customHeight="1">
      <c r="A44" s="64" t="str">
        <f>IFERROR(IF(ISNUMBER(LARGE(Strategi!$K$5:$K$134,39)),39,""),"")</f>
        <v/>
      </c>
      <c r="B44" s="83" t="str">
        <f t="array" ref="B44">IFERROR(INDEX(Strategi!$C$5:$C$134,MATCH(LARGE(Strategi!$K$5:$K$134,39),Strategi!$K$5:$K$134,0)),"")</f>
        <v/>
      </c>
      <c r="C44" s="64" t="str">
        <f t="array" ref="C44">IFERROR(INDEX(Strategi!$D$5:$D$134,MATCH(LARGE(Strategi!$K$5:$K$134,39),Strategi!$K$5:$K$134,0)),"")</f>
        <v/>
      </c>
      <c r="D44" s="83" t="str">
        <f t="array" ref="D44">IFERROR(IF(INDEX(Strategi!$G$5:$G$134,MATCH(LARGE(Strategi!$K$5:$K$134,39),Strategi!$K$5:$K$134,0))="","","("&amp;COUNTIFS($B$6:$B44,$B44,$C$6:$C44,$C44)&amp;") "&amp;INDEX(Strategi!$G$5:$G$134,MATCH(LARGE(Strategi!$K$5:$K$134,39),Strategi!$K$5:$K$134,0))),"")</f>
        <v/>
      </c>
      <c r="E44" s="64" t="str">
        <f t="array" ref="E44">IFERROR(INDEX(Strategi!$E$5:$E$134,MATCH(LARGE(Strategi!$K$5:$K$134,39),Strategi!$K$5:$K$134,0)),"")</f>
        <v/>
      </c>
      <c r="F44" s="141" t="str">
        <f t="shared" si="3"/>
        <v/>
      </c>
      <c r="G44" s="142" t="str">
        <f t="shared" si="4"/>
        <v/>
      </c>
      <c r="H44" s="143"/>
      <c r="I44" s="144"/>
      <c r="J44" s="143"/>
      <c r="K44" s="144"/>
      <c r="L44" s="143"/>
      <c r="M44" s="144"/>
      <c r="N44" s="143"/>
      <c r="O44" s="144"/>
      <c r="P44" s="143"/>
      <c r="Q44" s="144"/>
      <c r="R44" s="143"/>
      <c r="S44" s="144"/>
      <c r="T44" s="143"/>
      <c r="U44" s="144"/>
      <c r="V44" s="143"/>
      <c r="W44" s="144"/>
      <c r="X44" s="143"/>
      <c r="Y44" s="144"/>
      <c r="Z44" s="143"/>
      <c r="AA44" s="144"/>
      <c r="AB44" s="143"/>
      <c r="AC44" s="144"/>
      <c r="AD44" s="143"/>
      <c r="AE44" s="144"/>
      <c r="AF44" s="64" t="str">
        <f t="array" ref="AF44">IFERROR(INDEX(Strategi!$H$5:$H$134,MATCH(LARGE(Strategi!$K$5:$K$134,39),Strategi!$K$5:$K$134,0)),"")</f>
        <v/>
      </c>
      <c r="AG44" s="3"/>
    </row>
    <row r="45" ht="24.0" customHeight="1">
      <c r="A45" s="64" t="str">
        <f>IFERROR(IF(ISNUMBER(LARGE(Strategi!$K$5:$K$134,40)),40,""),"")</f>
        <v/>
      </c>
      <c r="B45" s="83" t="str">
        <f t="array" ref="B45">IFERROR(INDEX(Strategi!$C$5:$C$134,MATCH(LARGE(Strategi!$K$5:$K$134,40),Strategi!$K$5:$K$134,0)),"")</f>
        <v/>
      </c>
      <c r="C45" s="64" t="str">
        <f t="array" ref="C45">IFERROR(INDEX(Strategi!$D$5:$D$134,MATCH(LARGE(Strategi!$K$5:$K$134,40),Strategi!$K$5:$K$134,0)),"")</f>
        <v/>
      </c>
      <c r="D45" s="83" t="str">
        <f t="array" ref="D45">IFERROR(IF(INDEX(Strategi!$G$5:$G$134,MATCH(LARGE(Strategi!$K$5:$K$134,40),Strategi!$K$5:$K$134,0))="","","("&amp;COUNTIFS($B$6:$B45,$B45,$C$6:$C45,$C45)&amp;") "&amp;INDEX(Strategi!$G$5:$G$134,MATCH(LARGE(Strategi!$K$5:$K$134,40),Strategi!$K$5:$K$134,0))),"")</f>
        <v/>
      </c>
      <c r="E45" s="64" t="str">
        <f t="array" ref="E45">IFERROR(INDEX(Strategi!$E$5:$E$134,MATCH(LARGE(Strategi!$K$5:$K$134,40),Strategi!$K$5:$K$134,0)),"")</f>
        <v/>
      </c>
      <c r="F45" s="141" t="str">
        <f t="shared" si="3"/>
        <v/>
      </c>
      <c r="G45" s="142" t="str">
        <f t="shared" si="4"/>
        <v/>
      </c>
      <c r="H45" s="143"/>
      <c r="I45" s="144"/>
      <c r="J45" s="147"/>
      <c r="K45" s="147"/>
      <c r="L45" s="147"/>
      <c r="M45" s="147"/>
      <c r="N45" s="147"/>
      <c r="O45" s="147"/>
      <c r="P45" s="147"/>
      <c r="Q45" s="147"/>
      <c r="R45" s="147"/>
      <c r="S45" s="147"/>
      <c r="T45" s="147"/>
      <c r="U45" s="147"/>
      <c r="V45" s="147"/>
      <c r="W45" s="147"/>
      <c r="X45" s="147"/>
      <c r="Y45" s="147"/>
      <c r="Z45" s="147"/>
      <c r="AA45" s="147"/>
      <c r="AB45" s="147"/>
      <c r="AC45" s="147"/>
      <c r="AD45" s="147"/>
      <c r="AE45" s="147"/>
      <c r="AF45" s="64" t="str">
        <f t="array" ref="AF45">IFERROR(INDEX(Strategi!$H$5:$H$134,MATCH(LARGE(Strategi!$K$5:$K$134,40),Strategi!$K$5:$K$134,0)),"")</f>
        <v/>
      </c>
      <c r="AG45" s="3"/>
    </row>
    <row r="46" ht="24.0" customHeight="1">
      <c r="A46" s="64" t="str">
        <f>IFERROR(IF(ISNUMBER(LARGE(Strategi!$K$5:$K$134,41)),41,""),"")</f>
        <v/>
      </c>
      <c r="B46" s="83" t="str">
        <f t="array" ref="B46">IFERROR(INDEX(Strategi!$C$5:$C$134,MATCH(LARGE(Strategi!$K$5:$K$134,41),Strategi!$K$5:$K$134,0)),"")</f>
        <v/>
      </c>
      <c r="C46" s="64" t="str">
        <f t="array" ref="C46">IFERROR(INDEX(Strategi!$D$5:$D$134,MATCH(LARGE(Strategi!$K$5:$K$134,41),Strategi!$K$5:$K$134,0)),"")</f>
        <v/>
      </c>
      <c r="D46" s="83" t="str">
        <f t="array" ref="D46">IFERROR(IF(INDEX(Strategi!$G$5:$G$134,MATCH(LARGE(Strategi!$K$5:$K$134,41),Strategi!$K$5:$K$134,0))="","","("&amp;COUNTIFS($B$6:$B46,$B46,$C$6:$C46,$C46)&amp;") "&amp;INDEX(Strategi!$G$5:$G$134,MATCH(LARGE(Strategi!$K$5:$K$134,41),Strategi!$K$5:$K$134,0))),"")</f>
        <v/>
      </c>
      <c r="E46" s="64" t="str">
        <f t="array" ref="E46">IFERROR(INDEX(Strategi!$E$5:$E$134,MATCH(LARGE(Strategi!$K$5:$K$134,41),Strategi!$K$5:$K$134,0)),"")</f>
        <v/>
      </c>
      <c r="F46" s="64" t="str">
        <f t="shared" si="3"/>
        <v/>
      </c>
      <c r="G46" s="64" t="str">
        <f t="shared" si="4"/>
        <v/>
      </c>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64" t="str">
        <f t="array" ref="AF46">IFERROR(INDEX(Strategi!$H$5:$H$134,MATCH(LARGE(Strategi!$K$5:$K$134,41),Strategi!$K$5:$K$134,0)),"")</f>
        <v/>
      </c>
      <c r="AG46" s="3"/>
    </row>
    <row r="47" ht="24.0" customHeight="1">
      <c r="A47" s="64" t="str">
        <f>IFERROR(IF(ISNUMBER(LARGE(Strategi!$K$5:$K$134,42)),42,""),"")</f>
        <v/>
      </c>
      <c r="B47" s="83" t="str">
        <f t="array" ref="B47">IFERROR(INDEX(Strategi!$C$5:$C$134,MATCH(LARGE(Strategi!$K$5:$K$134,42),Strategi!$K$5:$K$134,0)),"")</f>
        <v/>
      </c>
      <c r="C47" s="64" t="str">
        <f t="array" ref="C47">IFERROR(INDEX(Strategi!$D$5:$D$134,MATCH(LARGE(Strategi!$K$5:$K$134,42),Strategi!$K$5:$K$134,0)),"")</f>
        <v/>
      </c>
      <c r="D47" s="83" t="str">
        <f t="array" ref="D47">IFERROR(IF(INDEX(Strategi!$G$5:$G$134,MATCH(LARGE(Strategi!$K$5:$K$134,42),Strategi!$K$5:$K$134,0))="","","("&amp;COUNTIFS($B$6:$B47,$B47,$C$6:$C47,$C47)&amp;") "&amp;INDEX(Strategi!$G$5:$G$134,MATCH(LARGE(Strategi!$K$5:$K$134,42),Strategi!$K$5:$K$134,0))),"")</f>
        <v/>
      </c>
      <c r="E47" s="64" t="str">
        <f t="array" ref="E47">IFERROR(INDEX(Strategi!$E$5:$E$134,MATCH(LARGE(Strategi!$K$5:$K$134,42),Strategi!$K$5:$K$134,0)),"")</f>
        <v/>
      </c>
      <c r="F47" s="64" t="str">
        <f t="shared" si="3"/>
        <v/>
      </c>
      <c r="G47" s="64" t="str">
        <f t="shared" si="4"/>
        <v/>
      </c>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64" t="str">
        <f t="array" ref="AF47">IFERROR(INDEX(Strategi!$H$5:$H$134,MATCH(LARGE(Strategi!$K$5:$K$134,42),Strategi!$K$5:$K$134,0)),"")</f>
        <v/>
      </c>
      <c r="AG47" s="3"/>
    </row>
    <row r="48" ht="24.0" customHeight="1">
      <c r="A48" s="64" t="str">
        <f>IFERROR(IF(ISNUMBER(LARGE(Strategi!$K$5:$K$134,43)),43,""),"")</f>
        <v/>
      </c>
      <c r="B48" s="83" t="str">
        <f t="array" ref="B48">IFERROR(INDEX(Strategi!$C$5:$C$134,MATCH(LARGE(Strategi!$K$5:$K$134,43),Strategi!$K$5:$K$134,0)),"")</f>
        <v/>
      </c>
      <c r="C48" s="64" t="str">
        <f t="array" ref="C48">IFERROR(INDEX(Strategi!$D$5:$D$134,MATCH(LARGE(Strategi!$K$5:$K$134,43),Strategi!$K$5:$K$134,0)),"")</f>
        <v/>
      </c>
      <c r="D48" s="83" t="str">
        <f t="array" ref="D48">IFERROR(IF(INDEX(Strategi!$G$5:$G$134,MATCH(LARGE(Strategi!$K$5:$K$134,43),Strategi!$K$5:$K$134,0))="","","("&amp;COUNTIFS($B$6:$B48,$B48,$C$6:$C48,$C48)&amp;") "&amp;INDEX(Strategi!$G$5:$G$134,MATCH(LARGE(Strategi!$K$5:$K$134,43),Strategi!$K$5:$K$134,0))),"")</f>
        <v/>
      </c>
      <c r="E48" s="64" t="str">
        <f t="array" ref="E48">IFERROR(INDEX(Strategi!$E$5:$E$134,MATCH(LARGE(Strategi!$K$5:$K$134,43),Strategi!$K$5:$K$134,0)),"")</f>
        <v/>
      </c>
      <c r="F48" s="64" t="str">
        <f t="shared" si="3"/>
        <v/>
      </c>
      <c r="G48" s="64" t="str">
        <f t="shared" si="4"/>
        <v/>
      </c>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64" t="str">
        <f t="array" ref="AF48">IFERROR(INDEX(Strategi!$H$5:$H$134,MATCH(LARGE(Strategi!$K$5:$K$134,43),Strategi!$K$5:$K$134,0)),"")</f>
        <v/>
      </c>
      <c r="AG48" s="3"/>
    </row>
    <row r="49" ht="24.0" customHeight="1">
      <c r="A49" s="64" t="str">
        <f>IFERROR(IF(ISNUMBER(LARGE(Strategi!$K$5:$K$134,44)),44,""),"")</f>
        <v/>
      </c>
      <c r="B49" s="83" t="str">
        <f t="array" ref="B49">IFERROR(INDEX(Strategi!$C$5:$C$134,MATCH(LARGE(Strategi!$K$5:$K$134,44),Strategi!$K$5:$K$134,0)),"")</f>
        <v/>
      </c>
      <c r="C49" s="64" t="str">
        <f t="array" ref="C49">IFERROR(INDEX(Strategi!$D$5:$D$134,MATCH(LARGE(Strategi!$K$5:$K$134,44),Strategi!$K$5:$K$134,0)),"")</f>
        <v/>
      </c>
      <c r="D49" s="83" t="str">
        <f t="array" ref="D49">IFERROR(IF(INDEX(Strategi!$G$5:$G$134,MATCH(LARGE(Strategi!$K$5:$K$134,44),Strategi!$K$5:$K$134,0))="","","("&amp;COUNTIFS($B$6:$B49,$B49,$C$6:$C49,$C49)&amp;") "&amp;INDEX(Strategi!$G$5:$G$134,MATCH(LARGE(Strategi!$K$5:$K$134,44),Strategi!$K$5:$K$134,0))),"")</f>
        <v/>
      </c>
      <c r="E49" s="64" t="str">
        <f t="array" ref="E49">IFERROR(INDEX(Strategi!$E$5:$E$134,MATCH(LARGE(Strategi!$K$5:$K$134,44),Strategi!$K$5:$K$134,0)),"")</f>
        <v/>
      </c>
      <c r="F49" s="64" t="str">
        <f t="shared" si="3"/>
        <v/>
      </c>
      <c r="G49" s="64" t="str">
        <f t="shared" si="4"/>
        <v/>
      </c>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64" t="str">
        <f t="array" ref="AF49">IFERROR(INDEX(Strategi!$H$5:$H$134,MATCH(LARGE(Strategi!$K$5:$K$134,44),Strategi!$K$5:$K$134,0)),"")</f>
        <v/>
      </c>
      <c r="AG49" s="3"/>
    </row>
    <row r="50" ht="24.0" customHeight="1">
      <c r="A50" s="64" t="str">
        <f>IFERROR(IF(ISNUMBER(LARGE(Strategi!$K$5:$K$134,45)),45,""),"")</f>
        <v/>
      </c>
      <c r="B50" s="83" t="str">
        <f t="array" ref="B50">IFERROR(INDEX(Strategi!$C$5:$C$134,MATCH(LARGE(Strategi!$K$5:$K$134,45),Strategi!$K$5:$K$134,0)),"")</f>
        <v/>
      </c>
      <c r="C50" s="64" t="str">
        <f t="array" ref="C50">IFERROR(INDEX(Strategi!$D$5:$D$134,MATCH(LARGE(Strategi!$K$5:$K$134,45),Strategi!$K$5:$K$134,0)),"")</f>
        <v/>
      </c>
      <c r="D50" s="83" t="str">
        <f t="array" ref="D50">IFERROR(IF(INDEX(Strategi!$G$5:$G$134,MATCH(LARGE(Strategi!$K$5:$K$134,45),Strategi!$K$5:$K$134,0))="","","("&amp;COUNTIFS($B$6:$B50,$B50,$C$6:$C50,$C50)&amp;") "&amp;INDEX(Strategi!$G$5:$G$134,MATCH(LARGE(Strategi!$K$5:$K$134,45),Strategi!$K$5:$K$134,0))),"")</f>
        <v/>
      </c>
      <c r="E50" s="64" t="str">
        <f t="array" ref="E50">IFERROR(INDEX(Strategi!$E$5:$E$134,MATCH(LARGE(Strategi!$K$5:$K$134,45),Strategi!$K$5:$K$134,0)),"")</f>
        <v/>
      </c>
      <c r="F50" s="64" t="str">
        <f t="shared" si="3"/>
        <v/>
      </c>
      <c r="G50" s="64" t="str">
        <f t="shared" si="4"/>
        <v/>
      </c>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64" t="str">
        <f t="array" ref="AF50">IFERROR(INDEX(Strategi!$H$5:$H$134,MATCH(LARGE(Strategi!$K$5:$K$134,45),Strategi!$K$5:$K$134,0)),"")</f>
        <v/>
      </c>
      <c r="AG50" s="3"/>
    </row>
    <row r="51" ht="24.0" customHeight="1">
      <c r="A51" s="64" t="str">
        <f>IFERROR(IF(ISNUMBER(LARGE(Strategi!$K$5:$K$134,46)),46,""),"")</f>
        <v/>
      </c>
      <c r="B51" s="83" t="str">
        <f t="array" ref="B51">IFERROR(INDEX(Strategi!$C$5:$C$134,MATCH(LARGE(Strategi!$K$5:$K$134,46),Strategi!$K$5:$K$134,0)),"")</f>
        <v/>
      </c>
      <c r="C51" s="64" t="str">
        <f t="array" ref="C51">IFERROR(INDEX(Strategi!$D$5:$D$134,MATCH(LARGE(Strategi!$K$5:$K$134,46),Strategi!$K$5:$K$134,0)),"")</f>
        <v/>
      </c>
      <c r="D51" s="83" t="str">
        <f t="array" ref="D51">IFERROR(IF(INDEX(Strategi!$G$5:$G$134,MATCH(LARGE(Strategi!$K$5:$K$134,46),Strategi!$K$5:$K$134,0))="","","("&amp;COUNTIFS($B$6:$B51,$B51,$C$6:$C51,$C51)&amp;") "&amp;INDEX(Strategi!$G$5:$G$134,MATCH(LARGE(Strategi!$K$5:$K$134,46),Strategi!$K$5:$K$134,0))),"")</f>
        <v/>
      </c>
      <c r="E51" s="64" t="str">
        <f t="array" ref="E51">IFERROR(INDEX(Strategi!$E$5:$E$134,MATCH(LARGE(Strategi!$K$5:$K$134,46),Strategi!$K$5:$K$134,0)),"")</f>
        <v/>
      </c>
      <c r="F51" s="64" t="str">
        <f t="shared" si="3"/>
        <v/>
      </c>
      <c r="G51" s="64" t="str">
        <f t="shared" si="4"/>
        <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64" t="str">
        <f t="array" ref="AF51">IFERROR(INDEX(Strategi!$H$5:$H$134,MATCH(LARGE(Strategi!$K$5:$K$134,46),Strategi!$K$5:$K$134,0)),"")</f>
        <v/>
      </c>
      <c r="AG51" s="3"/>
    </row>
    <row r="52" ht="24.0" customHeight="1">
      <c r="A52" s="64" t="str">
        <f>IFERROR(IF(ISNUMBER(LARGE(Strategi!$K$5:$K$134,47)),47,""),"")</f>
        <v/>
      </c>
      <c r="B52" s="83" t="str">
        <f t="array" ref="B52">IFERROR(INDEX(Strategi!$C$5:$C$134,MATCH(LARGE(Strategi!$K$5:$K$134,47),Strategi!$K$5:$K$134,0)),"")</f>
        <v/>
      </c>
      <c r="C52" s="64" t="str">
        <f t="array" ref="C52">IFERROR(INDEX(Strategi!$D$5:$D$134,MATCH(LARGE(Strategi!$K$5:$K$134,47),Strategi!$K$5:$K$134,0)),"")</f>
        <v/>
      </c>
      <c r="D52" s="83" t="str">
        <f t="array" ref="D52">IFERROR(IF(INDEX(Strategi!$G$5:$G$134,MATCH(LARGE(Strategi!$K$5:$K$134,47),Strategi!$K$5:$K$134,0))="","","("&amp;COUNTIFS($B$6:$B52,$B52,$C$6:$C52,$C52)&amp;") "&amp;INDEX(Strategi!$G$5:$G$134,MATCH(LARGE(Strategi!$K$5:$K$134,47),Strategi!$K$5:$K$134,0))),"")</f>
        <v/>
      </c>
      <c r="E52" s="64" t="str">
        <f t="array" ref="E52">IFERROR(INDEX(Strategi!$E$5:$E$134,MATCH(LARGE(Strategi!$K$5:$K$134,47),Strategi!$K$5:$K$134,0)),"")</f>
        <v/>
      </c>
      <c r="F52" s="64" t="str">
        <f t="shared" si="3"/>
        <v/>
      </c>
      <c r="G52" s="64" t="str">
        <f t="shared" si="4"/>
        <v/>
      </c>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64" t="str">
        <f t="array" ref="AF52">IFERROR(INDEX(Strategi!$H$5:$H$134,MATCH(LARGE(Strategi!$K$5:$K$134,47),Strategi!$K$5:$K$134,0)),"")</f>
        <v/>
      </c>
      <c r="AG52" s="3"/>
    </row>
    <row r="53" ht="24.0" customHeight="1">
      <c r="A53" s="64" t="str">
        <f>IFERROR(IF(ISNUMBER(LARGE(Strategi!$K$5:$K$134,48)),48,""),"")</f>
        <v/>
      </c>
      <c r="B53" s="83" t="str">
        <f t="array" ref="B53">IFERROR(INDEX(Strategi!$C$5:$C$134,MATCH(LARGE(Strategi!$K$5:$K$134,48),Strategi!$K$5:$K$134,0)),"")</f>
        <v/>
      </c>
      <c r="C53" s="64" t="str">
        <f t="array" ref="C53">IFERROR(INDEX(Strategi!$D$5:$D$134,MATCH(LARGE(Strategi!$K$5:$K$134,48),Strategi!$K$5:$K$134,0)),"")</f>
        <v/>
      </c>
      <c r="D53" s="83" t="str">
        <f t="array" ref="D53">IFERROR(IF(INDEX(Strategi!$G$5:$G$134,MATCH(LARGE(Strategi!$K$5:$K$134,48),Strategi!$K$5:$K$134,0))="","","("&amp;COUNTIFS($B$6:$B53,$B53,$C$6:$C53,$C53)&amp;") "&amp;INDEX(Strategi!$G$5:$G$134,MATCH(LARGE(Strategi!$K$5:$K$134,48),Strategi!$K$5:$K$134,0))),"")</f>
        <v/>
      </c>
      <c r="E53" s="64" t="str">
        <f t="array" ref="E53">IFERROR(INDEX(Strategi!$E$5:$E$134,MATCH(LARGE(Strategi!$K$5:$K$134,48),Strategi!$K$5:$K$134,0)),"")</f>
        <v/>
      </c>
      <c r="F53" s="64" t="str">
        <f t="shared" si="3"/>
        <v/>
      </c>
      <c r="G53" s="64" t="str">
        <f t="shared" si="4"/>
        <v/>
      </c>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64" t="str">
        <f t="array" ref="AF53">IFERROR(INDEX(Strategi!$H$5:$H$134,MATCH(LARGE(Strategi!$K$5:$K$134,48),Strategi!$K$5:$K$134,0)),"")</f>
        <v/>
      </c>
      <c r="AG53" s="3"/>
    </row>
    <row r="54" ht="24.0" customHeight="1">
      <c r="A54" s="64" t="str">
        <f>IFERROR(IF(ISNUMBER(LARGE(Strategi!$K$5:$K$134,49)),49,""),"")</f>
        <v/>
      </c>
      <c r="B54" s="83" t="str">
        <f t="array" ref="B54">IFERROR(INDEX(Strategi!$C$5:$C$134,MATCH(LARGE(Strategi!$K$5:$K$134,49),Strategi!$K$5:$K$134,0)),"")</f>
        <v/>
      </c>
      <c r="C54" s="64" t="str">
        <f t="array" ref="C54">IFERROR(INDEX(Strategi!$D$5:$D$134,MATCH(LARGE(Strategi!$K$5:$K$134,49),Strategi!$K$5:$K$134,0)),"")</f>
        <v/>
      </c>
      <c r="D54" s="83" t="str">
        <f t="array" ref="D54">IFERROR(IF(INDEX(Strategi!$G$5:$G$134,MATCH(LARGE(Strategi!$K$5:$K$134,49),Strategi!$K$5:$K$134,0))="","","("&amp;COUNTIFS($B$6:$B54,$B54,$C$6:$C54,$C54)&amp;") "&amp;INDEX(Strategi!$G$5:$G$134,MATCH(LARGE(Strategi!$K$5:$K$134,49),Strategi!$K$5:$K$134,0))),"")</f>
        <v/>
      </c>
      <c r="E54" s="64" t="str">
        <f t="array" ref="E54">IFERROR(INDEX(Strategi!$E$5:$E$134,MATCH(LARGE(Strategi!$K$5:$K$134,49),Strategi!$K$5:$K$134,0)),"")</f>
        <v/>
      </c>
      <c r="F54" s="64" t="str">
        <f t="shared" si="3"/>
        <v/>
      </c>
      <c r="G54" s="64" t="str">
        <f t="shared" si="4"/>
        <v/>
      </c>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64" t="str">
        <f t="array" ref="AF54">IFERROR(INDEX(Strategi!$H$5:$H$134,MATCH(LARGE(Strategi!$K$5:$K$134,49),Strategi!$K$5:$K$134,0)),"")</f>
        <v/>
      </c>
      <c r="AG54" s="3"/>
    </row>
    <row r="55" ht="24.0" customHeight="1">
      <c r="A55" s="64" t="str">
        <f>IFERROR(IF(ISNUMBER(LARGE(Strategi!$K$5:$K$134,50)),50,""),"")</f>
        <v/>
      </c>
      <c r="B55" s="83" t="str">
        <f t="array" ref="B55">IFERROR(INDEX(Strategi!$C$5:$C$134,MATCH(LARGE(Strategi!$K$5:$K$134,50),Strategi!$K$5:$K$134,0)),"")</f>
        <v/>
      </c>
      <c r="C55" s="64" t="str">
        <f t="array" ref="C55">IFERROR(INDEX(Strategi!$D$5:$D$134,MATCH(LARGE(Strategi!$K$5:$K$134,50),Strategi!$K$5:$K$134,0)),"")</f>
        <v/>
      </c>
      <c r="D55" s="83" t="str">
        <f t="array" ref="D55">IFERROR(IF(INDEX(Strategi!$G$5:$G$134,MATCH(LARGE(Strategi!$K$5:$K$134,50),Strategi!$K$5:$K$134,0))="","","("&amp;COUNTIFS($B$6:$B55,$B55,$C$6:$C55,$C55)&amp;") "&amp;INDEX(Strategi!$G$5:$G$134,MATCH(LARGE(Strategi!$K$5:$K$134,50),Strategi!$K$5:$K$134,0))),"")</f>
        <v/>
      </c>
      <c r="E55" s="64" t="str">
        <f t="array" ref="E55">IFERROR(INDEX(Strategi!$E$5:$E$134,MATCH(LARGE(Strategi!$K$5:$K$134,50),Strategi!$K$5:$K$134,0)),"")</f>
        <v/>
      </c>
      <c r="F55" s="64" t="str">
        <f t="shared" si="3"/>
        <v/>
      </c>
      <c r="G55" s="64" t="str">
        <f t="shared" si="4"/>
        <v/>
      </c>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64" t="str">
        <f t="array" ref="AF55">IFERROR(INDEX(Strategi!$H$5:$H$134,MATCH(LARGE(Strategi!$K$5:$K$134,50),Strategi!$K$5:$K$134,0)),"")</f>
        <v/>
      </c>
      <c r="AG55" s="3"/>
    </row>
    <row r="56" ht="24.0" customHeight="1">
      <c r="A56" s="64" t="str">
        <f>IFERROR(IF(ISNUMBER(LARGE(Strategi!$K$5:$K$134,51)),51,""),"")</f>
        <v/>
      </c>
      <c r="B56" s="83" t="str">
        <f t="array" ref="B56">IFERROR(INDEX(Strategi!$C$5:$C$134,MATCH(LARGE(Strategi!$K$5:$K$134,51),Strategi!$K$5:$K$134,0)),"")</f>
        <v/>
      </c>
      <c r="C56" s="64" t="str">
        <f t="array" ref="C56">IFERROR(INDEX(Strategi!$D$5:$D$134,MATCH(LARGE(Strategi!$K$5:$K$134,51),Strategi!$K$5:$K$134,0)),"")</f>
        <v/>
      </c>
      <c r="D56" s="83" t="str">
        <f t="array" ref="D56">IFERROR(IF(INDEX(Strategi!$G$5:$G$134,MATCH(LARGE(Strategi!$K$5:$K$134,51),Strategi!$K$5:$K$134,0))="","","("&amp;COUNTIFS($B$6:$B56,$B56,$C$6:$C56,$C56)&amp;") "&amp;INDEX(Strategi!$G$5:$G$134,MATCH(LARGE(Strategi!$K$5:$K$134,51),Strategi!$K$5:$K$134,0))),"")</f>
        <v/>
      </c>
      <c r="E56" s="64" t="str">
        <f t="array" ref="E56">IFERROR(INDEX(Strategi!$E$5:$E$134,MATCH(LARGE(Strategi!$K$5:$K$134,51),Strategi!$K$5:$K$134,0)),"")</f>
        <v/>
      </c>
      <c r="F56" s="64" t="str">
        <f t="shared" si="3"/>
        <v/>
      </c>
      <c r="G56" s="64" t="str">
        <f t="shared" si="4"/>
        <v/>
      </c>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64" t="str">
        <f t="array" ref="AF56">IFERROR(INDEX(Strategi!$H$5:$H$134,MATCH(LARGE(Strategi!$K$5:$K$134,51),Strategi!$K$5:$K$134,0)),"")</f>
        <v/>
      </c>
      <c r="AG56" s="3"/>
    </row>
    <row r="57" ht="24.0" customHeight="1">
      <c r="A57" s="64" t="str">
        <f>IFERROR(IF(ISNUMBER(LARGE(Strategi!$K$5:$K$134,52)),52,""),"")</f>
        <v/>
      </c>
      <c r="B57" s="83" t="str">
        <f t="array" ref="B57">IFERROR(INDEX(Strategi!$C$5:$C$134,MATCH(LARGE(Strategi!$K$5:$K$134,52),Strategi!$K$5:$K$134,0)),"")</f>
        <v/>
      </c>
      <c r="C57" s="64" t="str">
        <f t="array" ref="C57">IFERROR(INDEX(Strategi!$D$5:$D$134,MATCH(LARGE(Strategi!$K$5:$K$134,52),Strategi!$K$5:$K$134,0)),"")</f>
        <v/>
      </c>
      <c r="D57" s="83" t="str">
        <f t="array" ref="D57">IFERROR(IF(INDEX(Strategi!$G$5:$G$134,MATCH(LARGE(Strategi!$K$5:$K$134,52),Strategi!$K$5:$K$134,0))="","","("&amp;COUNTIFS($B$6:$B57,$B57,$C$6:$C57,$C57)&amp;") "&amp;INDEX(Strategi!$G$5:$G$134,MATCH(LARGE(Strategi!$K$5:$K$134,52),Strategi!$K$5:$K$134,0))),"")</f>
        <v/>
      </c>
      <c r="E57" s="64" t="str">
        <f t="array" ref="E57">IFERROR(INDEX(Strategi!$E$5:$E$134,MATCH(LARGE(Strategi!$K$5:$K$134,52),Strategi!$K$5:$K$134,0)),"")</f>
        <v/>
      </c>
      <c r="F57" s="64" t="str">
        <f t="shared" si="3"/>
        <v/>
      </c>
      <c r="G57" s="64" t="str">
        <f t="shared" si="4"/>
        <v/>
      </c>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64" t="str">
        <f t="array" ref="AF57">IFERROR(INDEX(Strategi!$H$5:$H$134,MATCH(LARGE(Strategi!$K$5:$K$134,52),Strategi!$K$5:$K$134,0)),"")</f>
        <v/>
      </c>
      <c r="AG57" s="3"/>
    </row>
    <row r="58" ht="24.0" customHeight="1">
      <c r="A58" s="64" t="str">
        <f>IFERROR(IF(ISNUMBER(LARGE(Strategi!$K$5:$K$134,53)),53,""),"")</f>
        <v/>
      </c>
      <c r="B58" s="83" t="str">
        <f t="array" ref="B58">IFERROR(INDEX(Strategi!$C$5:$C$134,MATCH(LARGE(Strategi!$K$5:$K$134,53),Strategi!$K$5:$K$134,0)),"")</f>
        <v/>
      </c>
      <c r="C58" s="64" t="str">
        <f t="array" ref="C58">IFERROR(INDEX(Strategi!$D$5:$D$134,MATCH(LARGE(Strategi!$K$5:$K$134,53),Strategi!$K$5:$K$134,0)),"")</f>
        <v/>
      </c>
      <c r="D58" s="83" t="str">
        <f t="array" ref="D58">IFERROR(IF(INDEX(Strategi!$G$5:$G$134,MATCH(LARGE(Strategi!$K$5:$K$134,53),Strategi!$K$5:$K$134,0))="","","("&amp;COUNTIFS($B$6:$B58,$B58,$C$6:$C58,$C58)&amp;") "&amp;INDEX(Strategi!$G$5:$G$134,MATCH(LARGE(Strategi!$K$5:$K$134,53),Strategi!$K$5:$K$134,0))),"")</f>
        <v/>
      </c>
      <c r="E58" s="64" t="str">
        <f t="array" ref="E58">IFERROR(INDEX(Strategi!$E$5:$E$134,MATCH(LARGE(Strategi!$K$5:$K$134,53),Strategi!$K$5:$K$134,0)),"")</f>
        <v/>
      </c>
      <c r="F58" s="64" t="str">
        <f t="shared" si="3"/>
        <v/>
      </c>
      <c r="G58" s="64" t="str">
        <f t="shared" si="4"/>
        <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64" t="str">
        <f t="array" ref="AF58">IFERROR(INDEX(Strategi!$H$5:$H$134,MATCH(LARGE(Strategi!$K$5:$K$134,53),Strategi!$K$5:$K$134,0)),"")</f>
        <v/>
      </c>
      <c r="AG58" s="3"/>
    </row>
    <row r="59" ht="24.0" customHeight="1">
      <c r="A59" s="64" t="str">
        <f>IFERROR(IF(ISNUMBER(LARGE(Strategi!$K$5:$K$134,54)),54,""),"")</f>
        <v/>
      </c>
      <c r="B59" s="83" t="str">
        <f t="array" ref="B59">IFERROR(INDEX(Strategi!$C$5:$C$134,MATCH(LARGE(Strategi!$K$5:$K$134,54),Strategi!$K$5:$K$134,0)),"")</f>
        <v/>
      </c>
      <c r="C59" s="64" t="str">
        <f t="array" ref="C59">IFERROR(INDEX(Strategi!$D$5:$D$134,MATCH(LARGE(Strategi!$K$5:$K$134,54),Strategi!$K$5:$K$134,0)),"")</f>
        <v/>
      </c>
      <c r="D59" s="83" t="str">
        <f t="array" ref="D59">IFERROR(IF(INDEX(Strategi!$G$5:$G$134,MATCH(LARGE(Strategi!$K$5:$K$134,54),Strategi!$K$5:$K$134,0))="","","("&amp;COUNTIFS($B$6:$B59,$B59,$C$6:$C59,$C59)&amp;") "&amp;INDEX(Strategi!$G$5:$G$134,MATCH(LARGE(Strategi!$K$5:$K$134,54),Strategi!$K$5:$K$134,0))),"")</f>
        <v/>
      </c>
      <c r="E59" s="64" t="str">
        <f t="array" ref="E59">IFERROR(INDEX(Strategi!$E$5:$E$134,MATCH(LARGE(Strategi!$K$5:$K$134,54),Strategi!$K$5:$K$134,0)),"")</f>
        <v/>
      </c>
      <c r="F59" s="64" t="str">
        <f t="shared" si="3"/>
        <v/>
      </c>
      <c r="G59" s="64" t="str">
        <f t="shared" si="4"/>
        <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64" t="str">
        <f t="array" ref="AF59">IFERROR(INDEX(Strategi!$H$5:$H$134,MATCH(LARGE(Strategi!$K$5:$K$134,54),Strategi!$K$5:$K$134,0)),"")</f>
        <v/>
      </c>
      <c r="AG59" s="3"/>
    </row>
    <row r="60" ht="24.0" customHeight="1">
      <c r="A60" s="64" t="str">
        <f>IFERROR(IF(ISNUMBER(LARGE(Strategi!$K$5:$K$134,55)),55,""),"")</f>
        <v/>
      </c>
      <c r="B60" s="83" t="str">
        <f t="array" ref="B60">IFERROR(INDEX(Strategi!$C$5:$C$134,MATCH(LARGE(Strategi!$K$5:$K$134,55),Strategi!$K$5:$K$134,0)),"")</f>
        <v/>
      </c>
      <c r="C60" s="64" t="str">
        <f t="array" ref="C60">IFERROR(INDEX(Strategi!$D$5:$D$134,MATCH(LARGE(Strategi!$K$5:$K$134,55),Strategi!$K$5:$K$134,0)),"")</f>
        <v/>
      </c>
      <c r="D60" s="83" t="str">
        <f t="array" ref="D60">IFERROR(IF(INDEX(Strategi!$G$5:$G$134,MATCH(LARGE(Strategi!$K$5:$K$134,55),Strategi!$K$5:$K$134,0))="","","("&amp;COUNTIFS($B$6:$B60,$B60,$C$6:$C60,$C60)&amp;") "&amp;INDEX(Strategi!$G$5:$G$134,MATCH(LARGE(Strategi!$K$5:$K$134,55),Strategi!$K$5:$K$134,0))),"")</f>
        <v/>
      </c>
      <c r="E60" s="64" t="str">
        <f t="array" ref="E60">IFERROR(INDEX(Strategi!$E$5:$E$134,MATCH(LARGE(Strategi!$K$5:$K$134,55),Strategi!$K$5:$K$134,0)),"")</f>
        <v/>
      </c>
      <c r="F60" s="64" t="str">
        <f t="shared" si="3"/>
        <v/>
      </c>
      <c r="G60" s="64" t="str">
        <f t="shared" si="4"/>
        <v/>
      </c>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64" t="str">
        <f t="array" ref="AF60">IFERROR(INDEX(Strategi!$H$5:$H$134,MATCH(LARGE(Strategi!$K$5:$K$134,55),Strategi!$K$5:$K$134,0)),"")</f>
        <v/>
      </c>
      <c r="AG60" s="3"/>
    </row>
    <row r="61" ht="24.0" customHeight="1">
      <c r="A61" s="64" t="str">
        <f>IFERROR(IF(ISNUMBER(LARGE(Strategi!$K$5:$K$134,56)),56,""),"")</f>
        <v/>
      </c>
      <c r="B61" s="83" t="str">
        <f t="array" ref="B61">IFERROR(INDEX(Strategi!$C$5:$C$134,MATCH(LARGE(Strategi!$K$5:$K$134,56),Strategi!$K$5:$K$134,0)),"")</f>
        <v/>
      </c>
      <c r="C61" s="64" t="str">
        <f t="array" ref="C61">IFERROR(INDEX(Strategi!$D$5:$D$134,MATCH(LARGE(Strategi!$K$5:$K$134,56),Strategi!$K$5:$K$134,0)),"")</f>
        <v/>
      </c>
      <c r="D61" s="83" t="str">
        <f t="array" ref="D61">IFERROR(IF(INDEX(Strategi!$G$5:$G$134,MATCH(LARGE(Strategi!$K$5:$K$134,56),Strategi!$K$5:$K$134,0))="","","("&amp;COUNTIFS($B$6:$B61,$B61,$C$6:$C61,$C61)&amp;") "&amp;INDEX(Strategi!$G$5:$G$134,MATCH(LARGE(Strategi!$K$5:$K$134,56),Strategi!$K$5:$K$134,0))),"")</f>
        <v/>
      </c>
      <c r="E61" s="64" t="str">
        <f t="array" ref="E61">IFERROR(INDEX(Strategi!$E$5:$E$134,MATCH(LARGE(Strategi!$K$5:$K$134,56),Strategi!$K$5:$K$134,0)),"")</f>
        <v/>
      </c>
      <c r="F61" s="64" t="str">
        <f t="shared" si="3"/>
        <v/>
      </c>
      <c r="G61" s="64" t="str">
        <f t="shared" si="4"/>
        <v/>
      </c>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64" t="str">
        <f t="array" ref="AF61">IFERROR(INDEX(Strategi!$H$5:$H$134,MATCH(LARGE(Strategi!$K$5:$K$134,56),Strategi!$K$5:$K$134,0)),"")</f>
        <v/>
      </c>
      <c r="AG61" s="3"/>
    </row>
    <row r="62" ht="24.0" customHeight="1">
      <c r="A62" s="64" t="str">
        <f>IFERROR(IF(ISNUMBER(LARGE(Strategi!$K$5:$K$134,57)),57,""),"")</f>
        <v/>
      </c>
      <c r="B62" s="83" t="str">
        <f t="array" ref="B62">IFERROR(INDEX(Strategi!$C$5:$C$134,MATCH(LARGE(Strategi!$K$5:$K$134,57),Strategi!$K$5:$K$134,0)),"")</f>
        <v/>
      </c>
      <c r="C62" s="64" t="str">
        <f t="array" ref="C62">IFERROR(INDEX(Strategi!$D$5:$D$134,MATCH(LARGE(Strategi!$K$5:$K$134,57),Strategi!$K$5:$K$134,0)),"")</f>
        <v/>
      </c>
      <c r="D62" s="83" t="str">
        <f t="array" ref="D62">IFERROR(IF(INDEX(Strategi!$G$5:$G$134,MATCH(LARGE(Strategi!$K$5:$K$134,57),Strategi!$K$5:$K$134,0))="","","("&amp;COUNTIFS($B$6:$B62,$B62,$C$6:$C62,$C62)&amp;") "&amp;INDEX(Strategi!$G$5:$G$134,MATCH(LARGE(Strategi!$K$5:$K$134,57),Strategi!$K$5:$K$134,0))),"")</f>
        <v/>
      </c>
      <c r="E62" s="64" t="str">
        <f t="array" ref="E62">IFERROR(INDEX(Strategi!$E$5:$E$134,MATCH(LARGE(Strategi!$K$5:$K$134,57),Strategi!$K$5:$K$134,0)),"")</f>
        <v/>
      </c>
      <c r="F62" s="64" t="str">
        <f t="shared" si="3"/>
        <v/>
      </c>
      <c r="G62" s="64" t="str">
        <f t="shared" si="4"/>
        <v/>
      </c>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64" t="str">
        <f t="array" ref="AF62">IFERROR(INDEX(Strategi!$H$5:$H$134,MATCH(LARGE(Strategi!$K$5:$K$134,57),Strategi!$K$5:$K$134,0)),"")</f>
        <v/>
      </c>
      <c r="AG62" s="3"/>
    </row>
    <row r="63" ht="24.0" customHeight="1">
      <c r="A63" s="64" t="str">
        <f>IFERROR(IF(ISNUMBER(LARGE(Strategi!$K$5:$K$134,58)),58,""),"")</f>
        <v/>
      </c>
      <c r="B63" s="83" t="str">
        <f t="array" ref="B63">IFERROR(INDEX(Strategi!$C$5:$C$134,MATCH(LARGE(Strategi!$K$5:$K$134,58),Strategi!$K$5:$K$134,0)),"")</f>
        <v/>
      </c>
      <c r="C63" s="64" t="str">
        <f t="array" ref="C63">IFERROR(INDEX(Strategi!$D$5:$D$134,MATCH(LARGE(Strategi!$K$5:$K$134,58),Strategi!$K$5:$K$134,0)),"")</f>
        <v/>
      </c>
      <c r="D63" s="83" t="str">
        <f t="array" ref="D63">IFERROR(IF(INDEX(Strategi!$G$5:$G$134,MATCH(LARGE(Strategi!$K$5:$K$134,58),Strategi!$K$5:$K$134,0))="","","("&amp;COUNTIFS($B$6:$B63,$B63,$C$6:$C63,$C63)&amp;") "&amp;INDEX(Strategi!$G$5:$G$134,MATCH(LARGE(Strategi!$K$5:$K$134,58),Strategi!$K$5:$K$134,0))),"")</f>
        <v/>
      </c>
      <c r="E63" s="64" t="str">
        <f t="array" ref="E63">IFERROR(INDEX(Strategi!$E$5:$E$134,MATCH(LARGE(Strategi!$K$5:$K$134,58),Strategi!$K$5:$K$134,0)),"")</f>
        <v/>
      </c>
      <c r="F63" s="64" t="str">
        <f t="shared" si="3"/>
        <v/>
      </c>
      <c r="G63" s="64" t="str">
        <f t="shared" si="4"/>
        <v/>
      </c>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64" t="str">
        <f t="array" ref="AF63">IFERROR(INDEX(Strategi!$H$5:$H$134,MATCH(LARGE(Strategi!$K$5:$K$134,58),Strategi!$K$5:$K$134,0)),"")</f>
        <v/>
      </c>
      <c r="AG63" s="3"/>
    </row>
    <row r="64" ht="24.0" customHeight="1">
      <c r="A64" s="64" t="str">
        <f>IFERROR(IF(ISNUMBER(LARGE(Strategi!$K$5:$K$134,59)),59,""),"")</f>
        <v/>
      </c>
      <c r="B64" s="83" t="str">
        <f t="array" ref="B64">IFERROR(INDEX(Strategi!$C$5:$C$134,MATCH(LARGE(Strategi!$K$5:$K$134,59),Strategi!$K$5:$K$134,0)),"")</f>
        <v/>
      </c>
      <c r="C64" s="64" t="str">
        <f t="array" ref="C64">IFERROR(INDEX(Strategi!$D$5:$D$134,MATCH(LARGE(Strategi!$K$5:$K$134,59),Strategi!$K$5:$K$134,0)),"")</f>
        <v/>
      </c>
      <c r="D64" s="83" t="str">
        <f t="array" ref="D64">IFERROR(IF(INDEX(Strategi!$G$5:$G$134,MATCH(LARGE(Strategi!$K$5:$K$134,59),Strategi!$K$5:$K$134,0))="","","("&amp;COUNTIFS($B$6:$B64,$B64,$C$6:$C64,$C64)&amp;") "&amp;INDEX(Strategi!$G$5:$G$134,MATCH(LARGE(Strategi!$K$5:$K$134,59),Strategi!$K$5:$K$134,0))),"")</f>
        <v/>
      </c>
      <c r="E64" s="64" t="str">
        <f t="array" ref="E64">IFERROR(INDEX(Strategi!$E$5:$E$134,MATCH(LARGE(Strategi!$K$5:$K$134,59),Strategi!$K$5:$K$134,0)),"")</f>
        <v/>
      </c>
      <c r="F64" s="64" t="str">
        <f t="shared" si="3"/>
        <v/>
      </c>
      <c r="G64" s="64" t="str">
        <f t="shared" si="4"/>
        <v/>
      </c>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64" t="str">
        <f t="array" ref="AF64">IFERROR(INDEX(Strategi!$H$5:$H$134,MATCH(LARGE(Strategi!$K$5:$K$134,59),Strategi!$K$5:$K$134,0)),"")</f>
        <v/>
      </c>
      <c r="AG64" s="3"/>
    </row>
    <row r="65" ht="24.0" customHeight="1">
      <c r="A65" s="64" t="str">
        <f>IFERROR(IF(ISNUMBER(LARGE(Strategi!$K$5:$K$134,60)),60,""),"")</f>
        <v/>
      </c>
      <c r="B65" s="83" t="str">
        <f t="array" ref="B65">IFERROR(INDEX(Strategi!$C$5:$C$134,MATCH(LARGE(Strategi!$K$5:$K$134,60),Strategi!$K$5:$K$134,0)),"")</f>
        <v/>
      </c>
      <c r="C65" s="64" t="str">
        <f t="array" ref="C65">IFERROR(INDEX(Strategi!$D$5:$D$134,MATCH(LARGE(Strategi!$K$5:$K$134,60),Strategi!$K$5:$K$134,0)),"")</f>
        <v/>
      </c>
      <c r="D65" s="83" t="str">
        <f t="array" ref="D65">IFERROR(IF(INDEX(Strategi!$G$5:$G$134,MATCH(LARGE(Strategi!$K$5:$K$134,60),Strategi!$K$5:$K$134,0))="","","("&amp;COUNTIFS($B$6:$B65,$B65,$C$6:$C65,$C65)&amp;") "&amp;INDEX(Strategi!$G$5:$G$134,MATCH(LARGE(Strategi!$K$5:$K$134,60),Strategi!$K$5:$K$134,0))),"")</f>
        <v/>
      </c>
      <c r="E65" s="64" t="str">
        <f t="array" ref="E65">IFERROR(INDEX(Strategi!$E$5:$E$134,MATCH(LARGE(Strategi!$K$5:$K$134,60),Strategi!$K$5:$K$134,0)),"")</f>
        <v/>
      </c>
      <c r="F65" s="64" t="str">
        <f t="shared" si="3"/>
        <v/>
      </c>
      <c r="G65" s="64" t="str">
        <f t="shared" si="4"/>
        <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64" t="str">
        <f t="array" ref="AF65">IFERROR(INDEX(Strategi!$H$5:$H$134,MATCH(LARGE(Strategi!$K$5:$K$134,60),Strategi!$K$5:$K$134,0)),"")</f>
        <v/>
      </c>
      <c r="AG65" s="3"/>
    </row>
    <row r="66" ht="24.0" customHeight="1">
      <c r="A66" s="64" t="str">
        <f>IFERROR(IF(ISNUMBER(LARGE(Strategi!$K$5:$K$134,61)),61,""),"")</f>
        <v/>
      </c>
      <c r="B66" s="83" t="str">
        <f t="array" ref="B66">IFERROR(INDEX(Strategi!$C$5:$C$134,MATCH(LARGE(Strategi!$K$5:$K$134,61),Strategi!$K$5:$K$134,0)),"")</f>
        <v/>
      </c>
      <c r="C66" s="64" t="str">
        <f t="array" ref="C66">IFERROR(INDEX(Strategi!$D$5:$D$134,MATCH(LARGE(Strategi!$K$5:$K$134,61),Strategi!$K$5:$K$134,0)),"")</f>
        <v/>
      </c>
      <c r="D66" s="83" t="str">
        <f t="array" ref="D66">IFERROR(IF(INDEX(Strategi!$G$5:$G$134,MATCH(LARGE(Strategi!$K$5:$K$134,61),Strategi!$K$5:$K$134,0))="","","("&amp;COUNTIFS($B$6:$B66,$B66,$C$6:$C66,$C66)&amp;") "&amp;INDEX(Strategi!$G$5:$G$134,MATCH(LARGE(Strategi!$K$5:$K$134,61),Strategi!$K$5:$K$134,0))),"")</f>
        <v/>
      </c>
      <c r="E66" s="64" t="str">
        <f t="array" ref="E66">IFERROR(INDEX(Strategi!$E$5:$E$134,MATCH(LARGE(Strategi!$K$5:$K$134,61),Strategi!$K$5:$K$134,0)),"")</f>
        <v/>
      </c>
      <c r="F66" s="64" t="str">
        <f t="shared" si="3"/>
        <v/>
      </c>
      <c r="G66" s="64" t="str">
        <f t="shared" si="4"/>
        <v/>
      </c>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64" t="str">
        <f t="array" ref="AF66">IFERROR(INDEX(Strategi!$H$5:$H$134,MATCH(LARGE(Strategi!$K$5:$K$134,61),Strategi!$K$5:$K$134,0)),"")</f>
        <v/>
      </c>
      <c r="AG66" s="3"/>
    </row>
    <row r="67" ht="24.0" customHeight="1">
      <c r="A67" s="64" t="str">
        <f>IFERROR(IF(ISNUMBER(LARGE(Strategi!$K$5:$K$134,62)),62,""),"")</f>
        <v/>
      </c>
      <c r="B67" s="83" t="str">
        <f t="array" ref="B67">IFERROR(INDEX(Strategi!$C$5:$C$134,MATCH(LARGE(Strategi!$K$5:$K$134,62),Strategi!$K$5:$K$134,0)),"")</f>
        <v/>
      </c>
      <c r="C67" s="64" t="str">
        <f t="array" ref="C67">IFERROR(INDEX(Strategi!$D$5:$D$134,MATCH(LARGE(Strategi!$K$5:$K$134,62),Strategi!$K$5:$K$134,0)),"")</f>
        <v/>
      </c>
      <c r="D67" s="83" t="str">
        <f t="array" ref="D67">IFERROR(IF(INDEX(Strategi!$G$5:$G$134,MATCH(LARGE(Strategi!$K$5:$K$134,62),Strategi!$K$5:$K$134,0))="","","("&amp;COUNTIFS($B$6:$B67,$B67,$C$6:$C67,$C67)&amp;") "&amp;INDEX(Strategi!$G$5:$G$134,MATCH(LARGE(Strategi!$K$5:$K$134,62),Strategi!$K$5:$K$134,0))),"")</f>
        <v/>
      </c>
      <c r="E67" s="64" t="str">
        <f t="array" ref="E67">IFERROR(INDEX(Strategi!$E$5:$E$134,MATCH(LARGE(Strategi!$K$5:$K$134,62),Strategi!$K$5:$K$134,0)),"")</f>
        <v/>
      </c>
      <c r="F67" s="64" t="str">
        <f t="shared" si="3"/>
        <v/>
      </c>
      <c r="G67" s="64" t="str">
        <f t="shared" si="4"/>
        <v/>
      </c>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64" t="str">
        <f t="array" ref="AF67">IFERROR(INDEX(Strategi!$H$5:$H$134,MATCH(LARGE(Strategi!$K$5:$K$134,62),Strategi!$K$5:$K$134,0)),"")</f>
        <v/>
      </c>
      <c r="AG67" s="3"/>
    </row>
    <row r="68" ht="24.0" customHeight="1">
      <c r="A68" s="64" t="str">
        <f>IFERROR(IF(ISNUMBER(LARGE(Strategi!$K$5:$K$134,63)),63,""),"")</f>
        <v/>
      </c>
      <c r="B68" s="83" t="str">
        <f t="array" ref="B68">IFERROR(INDEX(Strategi!$C$5:$C$134,MATCH(LARGE(Strategi!$K$5:$K$134,63),Strategi!$K$5:$K$134,0)),"")</f>
        <v/>
      </c>
      <c r="C68" s="64" t="str">
        <f t="array" ref="C68">IFERROR(INDEX(Strategi!$D$5:$D$134,MATCH(LARGE(Strategi!$K$5:$K$134,63),Strategi!$K$5:$K$134,0)),"")</f>
        <v/>
      </c>
      <c r="D68" s="83" t="str">
        <f t="array" ref="D68">IFERROR(IF(INDEX(Strategi!$G$5:$G$134,MATCH(LARGE(Strategi!$K$5:$K$134,63),Strategi!$K$5:$K$134,0))="","","("&amp;COUNTIFS($B$6:$B68,$B68,$C$6:$C68,$C68)&amp;") "&amp;INDEX(Strategi!$G$5:$G$134,MATCH(LARGE(Strategi!$K$5:$K$134,63),Strategi!$K$5:$K$134,0))),"")</f>
        <v/>
      </c>
      <c r="E68" s="64" t="str">
        <f t="array" ref="E68">IFERROR(INDEX(Strategi!$E$5:$E$134,MATCH(LARGE(Strategi!$K$5:$K$134,63),Strategi!$K$5:$K$134,0)),"")</f>
        <v/>
      </c>
      <c r="F68" s="64" t="str">
        <f t="shared" si="3"/>
        <v/>
      </c>
      <c r="G68" s="64" t="str">
        <f t="shared" si="4"/>
        <v/>
      </c>
      <c r="H68" s="147"/>
      <c r="I68" s="147"/>
      <c r="J68" s="147"/>
      <c r="K68" s="147"/>
      <c r="L68" s="147"/>
      <c r="M68" s="147"/>
      <c r="N68" s="147"/>
      <c r="O68" s="147"/>
      <c r="P68" s="147"/>
      <c r="Q68" s="147"/>
      <c r="R68" s="147"/>
      <c r="S68" s="147"/>
      <c r="T68" s="147"/>
      <c r="U68" s="147"/>
      <c r="V68" s="147"/>
      <c r="W68" s="147"/>
      <c r="X68" s="147"/>
      <c r="Y68" s="147"/>
      <c r="Z68" s="147"/>
      <c r="AA68" s="147"/>
      <c r="AB68" s="147"/>
      <c r="AC68" s="147"/>
      <c r="AD68" s="147"/>
      <c r="AE68" s="147"/>
      <c r="AF68" s="64" t="str">
        <f t="array" ref="AF68">IFERROR(INDEX(Strategi!$H$5:$H$134,MATCH(LARGE(Strategi!$K$5:$K$134,63),Strategi!$K$5:$K$134,0)),"")</f>
        <v/>
      </c>
      <c r="AG68" s="3"/>
    </row>
    <row r="69" ht="24.0" customHeight="1">
      <c r="A69" s="64" t="str">
        <f>IFERROR(IF(ISNUMBER(LARGE(Strategi!$K$5:$K$134,64)),64,""),"")</f>
        <v/>
      </c>
      <c r="B69" s="83" t="str">
        <f t="array" ref="B69">IFERROR(INDEX(Strategi!$C$5:$C$134,MATCH(LARGE(Strategi!$K$5:$K$134,64),Strategi!$K$5:$K$134,0)),"")</f>
        <v/>
      </c>
      <c r="C69" s="64" t="str">
        <f t="array" ref="C69">IFERROR(INDEX(Strategi!$D$5:$D$134,MATCH(LARGE(Strategi!$K$5:$K$134,64),Strategi!$K$5:$K$134,0)),"")</f>
        <v/>
      </c>
      <c r="D69" s="83" t="str">
        <f t="array" ref="D69">IFERROR(IF(INDEX(Strategi!$G$5:$G$134,MATCH(LARGE(Strategi!$K$5:$K$134,64),Strategi!$K$5:$K$134,0))="","","("&amp;COUNTIFS($B$6:$B69,$B69,$C$6:$C69,$C69)&amp;") "&amp;INDEX(Strategi!$G$5:$G$134,MATCH(LARGE(Strategi!$K$5:$K$134,64),Strategi!$K$5:$K$134,0))),"")</f>
        <v/>
      </c>
      <c r="E69" s="64" t="str">
        <f t="array" ref="E69">IFERROR(INDEX(Strategi!$E$5:$E$134,MATCH(LARGE(Strategi!$K$5:$K$134,64),Strategi!$K$5:$K$134,0)),"")</f>
        <v/>
      </c>
      <c r="F69" s="64" t="str">
        <f t="shared" si="3"/>
        <v/>
      </c>
      <c r="G69" s="64" t="str">
        <f t="shared" si="4"/>
        <v/>
      </c>
      <c r="H69" s="147"/>
      <c r="I69" s="147"/>
      <c r="J69" s="147"/>
      <c r="K69" s="147"/>
      <c r="L69" s="147"/>
      <c r="M69" s="147"/>
      <c r="N69" s="147"/>
      <c r="O69" s="147"/>
      <c r="P69" s="147"/>
      <c r="Q69" s="147"/>
      <c r="R69" s="147"/>
      <c r="S69" s="147"/>
      <c r="T69" s="147"/>
      <c r="U69" s="147"/>
      <c r="V69" s="147"/>
      <c r="W69" s="147"/>
      <c r="X69" s="147"/>
      <c r="Y69" s="147"/>
      <c r="Z69" s="147"/>
      <c r="AA69" s="147"/>
      <c r="AB69" s="147"/>
      <c r="AC69" s="147"/>
      <c r="AD69" s="147"/>
      <c r="AE69" s="147"/>
      <c r="AF69" s="64" t="str">
        <f t="array" ref="AF69">IFERROR(INDEX(Strategi!$H$5:$H$134,MATCH(LARGE(Strategi!$K$5:$K$134,64),Strategi!$K$5:$K$134,0)),"")</f>
        <v/>
      </c>
      <c r="AG69" s="3"/>
    </row>
    <row r="70" ht="24.0" customHeight="1">
      <c r="A70" s="64" t="str">
        <f>IFERROR(IF(ISNUMBER(LARGE(Strategi!$K$5:$K$134,65)),65,""),"")</f>
        <v/>
      </c>
      <c r="B70" s="83" t="str">
        <f t="array" ref="B70">IFERROR(INDEX(Strategi!$C$5:$C$134,MATCH(LARGE(Strategi!$K$5:$K$134,65),Strategi!$K$5:$K$134,0)),"")</f>
        <v/>
      </c>
      <c r="C70" s="64" t="str">
        <f t="array" ref="C70">IFERROR(INDEX(Strategi!$D$5:$D$134,MATCH(LARGE(Strategi!$K$5:$K$134,65),Strategi!$K$5:$K$134,0)),"")</f>
        <v/>
      </c>
      <c r="D70" s="83" t="str">
        <f t="array" ref="D70">IFERROR(IF(INDEX(Strategi!$G$5:$G$134,MATCH(LARGE(Strategi!$K$5:$K$134,65),Strategi!$K$5:$K$134,0))="","","("&amp;COUNTIFS($B$6:$B70,$B70,$C$6:$C70,$C70)&amp;") "&amp;INDEX(Strategi!$G$5:$G$134,MATCH(LARGE(Strategi!$K$5:$K$134,65),Strategi!$K$5:$K$134,0))),"")</f>
        <v/>
      </c>
      <c r="E70" s="64" t="str">
        <f t="array" ref="E70">IFERROR(INDEX(Strategi!$E$5:$E$134,MATCH(LARGE(Strategi!$K$5:$K$134,65),Strategi!$K$5:$K$134,0)),"")</f>
        <v/>
      </c>
      <c r="F70" s="64" t="str">
        <f t="shared" si="3"/>
        <v/>
      </c>
      <c r="G70" s="64" t="str">
        <f t="shared" si="4"/>
        <v/>
      </c>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64" t="str">
        <f t="array" ref="AF70">IFERROR(INDEX(Strategi!$H$5:$H$134,MATCH(LARGE(Strategi!$K$5:$K$134,65),Strategi!$K$5:$K$134,0)),"")</f>
        <v/>
      </c>
      <c r="AG70" s="3"/>
    </row>
    <row r="71" ht="24.0" customHeight="1">
      <c r="A71" s="64" t="str">
        <f>IFERROR(IF(ISNUMBER(LARGE(Strategi!$K$5:$K$134,66)),66,""),"")</f>
        <v/>
      </c>
      <c r="B71" s="83" t="str">
        <f t="array" ref="B71">IFERROR(INDEX(Strategi!$C$5:$C$134,MATCH(LARGE(Strategi!$K$5:$K$134,66),Strategi!$K$5:$K$134,0)),"")</f>
        <v/>
      </c>
      <c r="C71" s="64" t="str">
        <f t="array" ref="C71">IFERROR(INDEX(Strategi!$D$5:$D$134,MATCH(LARGE(Strategi!$K$5:$K$134,66),Strategi!$K$5:$K$134,0)),"")</f>
        <v/>
      </c>
      <c r="D71" s="83" t="str">
        <f t="array" ref="D71">IFERROR(IF(INDEX(Strategi!$G$5:$G$134,MATCH(LARGE(Strategi!$K$5:$K$134,66),Strategi!$K$5:$K$134,0))="","","("&amp;COUNTIFS($B$6:$B71,$B71,$C$6:$C71,$C71)&amp;") "&amp;INDEX(Strategi!$G$5:$G$134,MATCH(LARGE(Strategi!$K$5:$K$134,66),Strategi!$K$5:$K$134,0))),"")</f>
        <v/>
      </c>
      <c r="E71" s="64" t="str">
        <f t="array" ref="E71">IFERROR(INDEX(Strategi!$E$5:$E$134,MATCH(LARGE(Strategi!$K$5:$K$134,66),Strategi!$K$5:$K$134,0)),"")</f>
        <v/>
      </c>
      <c r="F71" s="64" t="str">
        <f t="shared" si="3"/>
        <v/>
      </c>
      <c r="G71" s="64" t="str">
        <f t="shared" si="4"/>
        <v/>
      </c>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64" t="str">
        <f t="array" ref="AF71">IFERROR(INDEX(Strategi!$H$5:$H$134,MATCH(LARGE(Strategi!$K$5:$K$134,66),Strategi!$K$5:$K$134,0)),"")</f>
        <v/>
      </c>
      <c r="AG71" s="3"/>
    </row>
    <row r="72" ht="24.0" customHeight="1">
      <c r="A72" s="64" t="str">
        <f>IFERROR(IF(ISNUMBER(LARGE(Strategi!$K$5:$K$134,67)),67,""),"")</f>
        <v/>
      </c>
      <c r="B72" s="83" t="str">
        <f t="array" ref="B72">IFERROR(INDEX(Strategi!$C$5:$C$134,MATCH(LARGE(Strategi!$K$5:$K$134,67),Strategi!$K$5:$K$134,0)),"")</f>
        <v/>
      </c>
      <c r="C72" s="64" t="str">
        <f t="array" ref="C72">IFERROR(INDEX(Strategi!$D$5:$D$134,MATCH(LARGE(Strategi!$K$5:$K$134,67),Strategi!$K$5:$K$134,0)),"")</f>
        <v/>
      </c>
      <c r="D72" s="83" t="str">
        <f t="array" ref="D72">IFERROR(IF(INDEX(Strategi!$G$5:$G$134,MATCH(LARGE(Strategi!$K$5:$K$134,67),Strategi!$K$5:$K$134,0))="","","("&amp;COUNTIFS($B$6:$B72,$B72,$C$6:$C72,$C72)&amp;") "&amp;INDEX(Strategi!$G$5:$G$134,MATCH(LARGE(Strategi!$K$5:$K$134,67),Strategi!$K$5:$K$134,0))),"")</f>
        <v/>
      </c>
      <c r="E72" s="64" t="str">
        <f t="array" ref="E72">IFERROR(INDEX(Strategi!$E$5:$E$134,MATCH(LARGE(Strategi!$K$5:$K$134,67),Strategi!$K$5:$K$134,0)),"")</f>
        <v/>
      </c>
      <c r="F72" s="64" t="str">
        <f t="shared" si="3"/>
        <v/>
      </c>
      <c r="G72" s="64" t="str">
        <f t="shared" si="4"/>
        <v/>
      </c>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64" t="str">
        <f t="array" ref="AF72">IFERROR(INDEX(Strategi!$H$5:$H$134,MATCH(LARGE(Strategi!$K$5:$K$134,67),Strategi!$K$5:$K$134,0)),"")</f>
        <v/>
      </c>
      <c r="AG72" s="3"/>
    </row>
    <row r="73" ht="24.0" customHeight="1">
      <c r="A73" s="64" t="str">
        <f>IFERROR(IF(ISNUMBER(LARGE(Strategi!$K$5:$K$134,68)),68,""),"")</f>
        <v/>
      </c>
      <c r="B73" s="83" t="str">
        <f t="array" ref="B73">IFERROR(INDEX(Strategi!$C$5:$C$134,MATCH(LARGE(Strategi!$K$5:$K$134,68),Strategi!$K$5:$K$134,0)),"")</f>
        <v/>
      </c>
      <c r="C73" s="64" t="str">
        <f t="array" ref="C73">IFERROR(INDEX(Strategi!$D$5:$D$134,MATCH(LARGE(Strategi!$K$5:$K$134,68),Strategi!$K$5:$K$134,0)),"")</f>
        <v/>
      </c>
      <c r="D73" s="83" t="str">
        <f t="array" ref="D73">IFERROR(IF(INDEX(Strategi!$G$5:$G$134,MATCH(LARGE(Strategi!$K$5:$K$134,68),Strategi!$K$5:$K$134,0))="","","("&amp;COUNTIFS($B$6:$B73,$B73,$C$6:$C73,$C73)&amp;") "&amp;INDEX(Strategi!$G$5:$G$134,MATCH(LARGE(Strategi!$K$5:$K$134,68),Strategi!$K$5:$K$134,0))),"")</f>
        <v/>
      </c>
      <c r="E73" s="64" t="str">
        <f t="array" ref="E73">IFERROR(INDEX(Strategi!$E$5:$E$134,MATCH(LARGE(Strategi!$K$5:$K$134,68),Strategi!$K$5:$K$134,0)),"")</f>
        <v/>
      </c>
      <c r="F73" s="64" t="str">
        <f t="shared" si="3"/>
        <v/>
      </c>
      <c r="G73" s="64" t="str">
        <f t="shared" si="4"/>
        <v/>
      </c>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64" t="str">
        <f t="array" ref="AF73">IFERROR(INDEX(Strategi!$H$5:$H$134,MATCH(LARGE(Strategi!$K$5:$K$134,68),Strategi!$K$5:$K$134,0)),"")</f>
        <v/>
      </c>
      <c r="AG73" s="3"/>
    </row>
    <row r="74" ht="24.0" customHeight="1">
      <c r="A74" s="64" t="str">
        <f>IFERROR(IF(ISNUMBER(LARGE(Strategi!$K$5:$K$134,69)),69,""),"")</f>
        <v/>
      </c>
      <c r="B74" s="83" t="str">
        <f t="array" ref="B74">IFERROR(INDEX(Strategi!$C$5:$C$134,MATCH(LARGE(Strategi!$K$5:$K$134,69),Strategi!$K$5:$K$134,0)),"")</f>
        <v/>
      </c>
      <c r="C74" s="64" t="str">
        <f t="array" ref="C74">IFERROR(INDEX(Strategi!$D$5:$D$134,MATCH(LARGE(Strategi!$K$5:$K$134,69),Strategi!$K$5:$K$134,0)),"")</f>
        <v/>
      </c>
      <c r="D74" s="83" t="str">
        <f t="array" ref="D74">IFERROR(IF(INDEX(Strategi!$G$5:$G$134,MATCH(LARGE(Strategi!$K$5:$K$134,69),Strategi!$K$5:$K$134,0))="","","("&amp;COUNTIFS($B$6:$B74,$B74,$C$6:$C74,$C74)&amp;") "&amp;INDEX(Strategi!$G$5:$G$134,MATCH(LARGE(Strategi!$K$5:$K$134,69),Strategi!$K$5:$K$134,0))),"")</f>
        <v/>
      </c>
      <c r="E74" s="64" t="str">
        <f t="array" ref="E74">IFERROR(INDEX(Strategi!$E$5:$E$134,MATCH(LARGE(Strategi!$K$5:$K$134,69),Strategi!$K$5:$K$134,0)),"")</f>
        <v/>
      </c>
      <c r="F74" s="64" t="str">
        <f t="shared" si="3"/>
        <v/>
      </c>
      <c r="G74" s="64" t="str">
        <f t="shared" si="4"/>
        <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64" t="str">
        <f t="array" ref="AF74">IFERROR(INDEX(Strategi!$H$5:$H$134,MATCH(LARGE(Strategi!$K$5:$K$134,69),Strategi!$K$5:$K$134,0)),"")</f>
        <v/>
      </c>
      <c r="AG74" s="3"/>
    </row>
    <row r="75" ht="24.0" customHeight="1">
      <c r="A75" s="64" t="str">
        <f>IFERROR(IF(ISNUMBER(LARGE(Strategi!$K$5:$K$134,70)),70,""),"")</f>
        <v/>
      </c>
      <c r="B75" s="83" t="str">
        <f t="array" ref="B75">IFERROR(INDEX(Strategi!$C$5:$C$134,MATCH(LARGE(Strategi!$K$5:$K$134,70),Strategi!$K$5:$K$134,0)),"")</f>
        <v/>
      </c>
      <c r="C75" s="64" t="str">
        <f t="array" ref="C75">IFERROR(INDEX(Strategi!$D$5:$D$134,MATCH(LARGE(Strategi!$K$5:$K$134,70),Strategi!$K$5:$K$134,0)),"")</f>
        <v/>
      </c>
      <c r="D75" s="83" t="str">
        <f t="array" ref="D75">IFERROR(IF(INDEX(Strategi!$G$5:$G$134,MATCH(LARGE(Strategi!$K$5:$K$134,70),Strategi!$K$5:$K$134,0))="","","("&amp;COUNTIFS($B$6:$B75,$B75,$C$6:$C75,$C75)&amp;") "&amp;INDEX(Strategi!$G$5:$G$134,MATCH(LARGE(Strategi!$K$5:$K$134,70),Strategi!$K$5:$K$134,0))),"")</f>
        <v/>
      </c>
      <c r="E75" s="64" t="str">
        <f t="array" ref="E75">IFERROR(INDEX(Strategi!$E$5:$E$134,MATCH(LARGE(Strategi!$K$5:$K$134,70),Strategi!$K$5:$K$134,0)),"")</f>
        <v/>
      </c>
      <c r="F75" s="64" t="str">
        <f t="shared" si="3"/>
        <v/>
      </c>
      <c r="G75" s="64" t="str">
        <f t="shared" si="4"/>
        <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64" t="str">
        <f t="array" ref="AF75">IFERROR(INDEX(Strategi!$H$5:$H$134,MATCH(LARGE(Strategi!$K$5:$K$134,70),Strategi!$K$5:$K$134,0)),"")</f>
        <v/>
      </c>
      <c r="AG75" s="3"/>
    </row>
    <row r="76" ht="24.0" customHeight="1">
      <c r="A76" s="64" t="str">
        <f>IFERROR(IF(ISNUMBER(LARGE(Strategi!$K$5:$K$134,71)),71,""),"")</f>
        <v/>
      </c>
      <c r="B76" s="83" t="str">
        <f t="array" ref="B76">IFERROR(INDEX(Strategi!$C$5:$C$134,MATCH(LARGE(Strategi!$K$5:$K$134,71),Strategi!$K$5:$K$134,0)),"")</f>
        <v/>
      </c>
      <c r="C76" s="64" t="str">
        <f t="array" ref="C76">IFERROR(INDEX(Strategi!$D$5:$D$134,MATCH(LARGE(Strategi!$K$5:$K$134,71),Strategi!$K$5:$K$134,0)),"")</f>
        <v/>
      </c>
      <c r="D76" s="83" t="str">
        <f t="array" ref="D76">IFERROR(IF(INDEX(Strategi!$G$5:$G$134,MATCH(LARGE(Strategi!$K$5:$K$134,71),Strategi!$K$5:$K$134,0))="","","("&amp;COUNTIFS($B$6:$B76,$B76,$C$6:$C76,$C76)&amp;") "&amp;INDEX(Strategi!$G$5:$G$134,MATCH(LARGE(Strategi!$K$5:$K$134,71),Strategi!$K$5:$K$134,0))),"")</f>
        <v/>
      </c>
      <c r="E76" s="64" t="str">
        <f t="array" ref="E76">IFERROR(INDEX(Strategi!$E$5:$E$134,MATCH(LARGE(Strategi!$K$5:$K$134,71),Strategi!$K$5:$K$134,0)),"")</f>
        <v/>
      </c>
      <c r="F76" s="64" t="str">
        <f t="shared" si="3"/>
        <v/>
      </c>
      <c r="G76" s="64" t="str">
        <f t="shared" si="4"/>
        <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64" t="str">
        <f t="array" ref="AF76">IFERROR(INDEX(Strategi!$H$5:$H$134,MATCH(LARGE(Strategi!$K$5:$K$134,71),Strategi!$K$5:$K$134,0)),"")</f>
        <v/>
      </c>
      <c r="AG76" s="3"/>
    </row>
    <row r="77" ht="24.0" customHeight="1">
      <c r="A77" s="64" t="str">
        <f>IFERROR(IF(ISNUMBER(LARGE(Strategi!$K$5:$K$134,72)),72,""),"")</f>
        <v/>
      </c>
      <c r="B77" s="83" t="str">
        <f t="array" ref="B77">IFERROR(INDEX(Strategi!$C$5:$C$134,MATCH(LARGE(Strategi!$K$5:$K$134,72),Strategi!$K$5:$K$134,0)),"")</f>
        <v/>
      </c>
      <c r="C77" s="64" t="str">
        <f t="array" ref="C77">IFERROR(INDEX(Strategi!$D$5:$D$134,MATCH(LARGE(Strategi!$K$5:$K$134,72),Strategi!$K$5:$K$134,0)),"")</f>
        <v/>
      </c>
      <c r="D77" s="83" t="str">
        <f t="array" ref="D77">IFERROR(IF(INDEX(Strategi!$G$5:$G$134,MATCH(LARGE(Strategi!$K$5:$K$134,72),Strategi!$K$5:$K$134,0))="","","("&amp;COUNTIFS($B$6:$B77,$B77,$C$6:$C77,$C77)&amp;") "&amp;INDEX(Strategi!$G$5:$G$134,MATCH(LARGE(Strategi!$K$5:$K$134,72),Strategi!$K$5:$K$134,0))),"")</f>
        <v/>
      </c>
      <c r="E77" s="64" t="str">
        <f t="array" ref="E77">IFERROR(INDEX(Strategi!$E$5:$E$134,MATCH(LARGE(Strategi!$K$5:$K$134,72),Strategi!$K$5:$K$134,0)),"")</f>
        <v/>
      </c>
      <c r="F77" s="64" t="str">
        <f t="shared" si="3"/>
        <v/>
      </c>
      <c r="G77" s="64" t="str">
        <f t="shared" si="4"/>
        <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64" t="str">
        <f t="array" ref="AF77">IFERROR(INDEX(Strategi!$H$5:$H$134,MATCH(LARGE(Strategi!$K$5:$K$134,72),Strategi!$K$5:$K$134,0)),"")</f>
        <v/>
      </c>
      <c r="AG77" s="3"/>
    </row>
    <row r="78" ht="24.0" customHeight="1">
      <c r="A78" s="64" t="str">
        <f>IFERROR(IF(ISNUMBER(LARGE(Strategi!$K$5:$K$134,73)),73,""),"")</f>
        <v/>
      </c>
      <c r="B78" s="83" t="str">
        <f t="array" ref="B78">IFERROR(INDEX(Strategi!$C$5:$C$134,MATCH(LARGE(Strategi!$K$5:$K$134,73),Strategi!$K$5:$K$134,0)),"")</f>
        <v/>
      </c>
      <c r="C78" s="64" t="str">
        <f t="array" ref="C78">IFERROR(INDEX(Strategi!$D$5:$D$134,MATCH(LARGE(Strategi!$K$5:$K$134,73),Strategi!$K$5:$K$134,0)),"")</f>
        <v/>
      </c>
      <c r="D78" s="83" t="str">
        <f t="array" ref="D78">IFERROR(IF(INDEX(Strategi!$G$5:$G$134,MATCH(LARGE(Strategi!$K$5:$K$134,73),Strategi!$K$5:$K$134,0))="","","("&amp;COUNTIFS($B$6:$B78,$B78,$C$6:$C78,$C78)&amp;") "&amp;INDEX(Strategi!$G$5:$G$134,MATCH(LARGE(Strategi!$K$5:$K$134,73),Strategi!$K$5:$K$134,0))),"")</f>
        <v/>
      </c>
      <c r="E78" s="64" t="str">
        <f t="array" ref="E78">IFERROR(INDEX(Strategi!$E$5:$E$134,MATCH(LARGE(Strategi!$K$5:$K$134,73),Strategi!$K$5:$K$134,0)),"")</f>
        <v/>
      </c>
      <c r="F78" s="64" t="str">
        <f t="shared" si="3"/>
        <v/>
      </c>
      <c r="G78" s="64" t="str">
        <f t="shared" si="4"/>
        <v/>
      </c>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64" t="str">
        <f t="array" ref="AF78">IFERROR(INDEX(Strategi!$H$5:$H$134,MATCH(LARGE(Strategi!$K$5:$K$134,73),Strategi!$K$5:$K$134,0)),"")</f>
        <v/>
      </c>
      <c r="AG78" s="3"/>
    </row>
    <row r="79" ht="24.0" customHeight="1">
      <c r="A79" s="64" t="str">
        <f>IFERROR(IF(ISNUMBER(LARGE(Strategi!$K$5:$K$134,74)),74,""),"")</f>
        <v/>
      </c>
      <c r="B79" s="83" t="str">
        <f t="array" ref="B79">IFERROR(INDEX(Strategi!$C$5:$C$134,MATCH(LARGE(Strategi!$K$5:$K$134,74),Strategi!$K$5:$K$134,0)),"")</f>
        <v/>
      </c>
      <c r="C79" s="64" t="str">
        <f t="array" ref="C79">IFERROR(INDEX(Strategi!$D$5:$D$134,MATCH(LARGE(Strategi!$K$5:$K$134,74),Strategi!$K$5:$K$134,0)),"")</f>
        <v/>
      </c>
      <c r="D79" s="83" t="str">
        <f t="array" ref="D79">IFERROR(IF(INDEX(Strategi!$G$5:$G$134,MATCH(LARGE(Strategi!$K$5:$K$134,74),Strategi!$K$5:$K$134,0))="","","("&amp;COUNTIFS($B$6:$B79,$B79,$C$6:$C79,$C79)&amp;") "&amp;INDEX(Strategi!$G$5:$G$134,MATCH(LARGE(Strategi!$K$5:$K$134,74),Strategi!$K$5:$K$134,0))),"")</f>
        <v/>
      </c>
      <c r="E79" s="64" t="str">
        <f t="array" ref="E79">IFERROR(INDEX(Strategi!$E$5:$E$134,MATCH(LARGE(Strategi!$K$5:$K$134,74),Strategi!$K$5:$K$134,0)),"")</f>
        <v/>
      </c>
      <c r="F79" s="64" t="str">
        <f t="shared" si="3"/>
        <v/>
      </c>
      <c r="G79" s="64" t="str">
        <f t="shared" si="4"/>
        <v/>
      </c>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64" t="str">
        <f t="array" ref="AF79">IFERROR(INDEX(Strategi!$H$5:$H$134,MATCH(LARGE(Strategi!$K$5:$K$134,74),Strategi!$K$5:$K$134,0)),"")</f>
        <v/>
      </c>
      <c r="AG79" s="3"/>
    </row>
    <row r="80" ht="24.0" customHeight="1">
      <c r="A80" s="64" t="str">
        <f>IFERROR(IF(ISNUMBER(LARGE(Strategi!$K$5:$K$134,75)),75,""),"")</f>
        <v/>
      </c>
      <c r="B80" s="83" t="str">
        <f t="array" ref="B80">IFERROR(INDEX(Strategi!$C$5:$C$134,MATCH(LARGE(Strategi!$K$5:$K$134,75),Strategi!$K$5:$K$134,0)),"")</f>
        <v/>
      </c>
      <c r="C80" s="64" t="str">
        <f t="array" ref="C80">IFERROR(INDEX(Strategi!$D$5:$D$134,MATCH(LARGE(Strategi!$K$5:$K$134,75),Strategi!$K$5:$K$134,0)),"")</f>
        <v/>
      </c>
      <c r="D80" s="83" t="str">
        <f t="array" ref="D80">IFERROR(IF(INDEX(Strategi!$G$5:$G$134,MATCH(LARGE(Strategi!$K$5:$K$134,75),Strategi!$K$5:$K$134,0))="","","("&amp;COUNTIFS($B$6:$B80,$B80,$C$6:$C80,$C80)&amp;") "&amp;INDEX(Strategi!$G$5:$G$134,MATCH(LARGE(Strategi!$K$5:$K$134,75),Strategi!$K$5:$K$134,0))),"")</f>
        <v/>
      </c>
      <c r="E80" s="64" t="str">
        <f t="array" ref="E80">IFERROR(INDEX(Strategi!$E$5:$E$134,MATCH(LARGE(Strategi!$K$5:$K$134,75),Strategi!$K$5:$K$134,0)),"")</f>
        <v/>
      </c>
      <c r="F80" s="64" t="str">
        <f t="shared" si="3"/>
        <v/>
      </c>
      <c r="G80" s="64" t="str">
        <f t="shared" si="4"/>
        <v/>
      </c>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64" t="str">
        <f t="array" ref="AF80">IFERROR(INDEX(Strategi!$H$5:$H$134,MATCH(LARGE(Strategi!$K$5:$K$134,75),Strategi!$K$5:$K$134,0)),"")</f>
        <v/>
      </c>
      <c r="AG80" s="3"/>
    </row>
    <row r="81" ht="24.0" customHeight="1">
      <c r="A81" s="64" t="str">
        <f>IFERROR(IF(ISNUMBER(LARGE(Strategi!$K$5:$K$134,76)),76,""),"")</f>
        <v/>
      </c>
      <c r="B81" s="83" t="str">
        <f t="array" ref="B81">IFERROR(INDEX(Strategi!$C$5:$C$134,MATCH(LARGE(Strategi!$K$5:$K$134,76),Strategi!$K$5:$K$134,0)),"")</f>
        <v/>
      </c>
      <c r="C81" s="64" t="str">
        <f t="array" ref="C81">IFERROR(INDEX(Strategi!$D$5:$D$134,MATCH(LARGE(Strategi!$K$5:$K$134,76),Strategi!$K$5:$K$134,0)),"")</f>
        <v/>
      </c>
      <c r="D81" s="83" t="str">
        <f t="array" ref="D81">IFERROR(IF(INDEX(Strategi!$G$5:$G$134,MATCH(LARGE(Strategi!$K$5:$K$134,76),Strategi!$K$5:$K$134,0))="","","("&amp;COUNTIFS($B$6:$B81,$B81,$C$6:$C81,$C81)&amp;") "&amp;INDEX(Strategi!$G$5:$G$134,MATCH(LARGE(Strategi!$K$5:$K$134,76),Strategi!$K$5:$K$134,0))),"")</f>
        <v/>
      </c>
      <c r="E81" s="64" t="str">
        <f t="array" ref="E81">IFERROR(INDEX(Strategi!$E$5:$E$134,MATCH(LARGE(Strategi!$K$5:$K$134,76),Strategi!$K$5:$K$134,0)),"")</f>
        <v/>
      </c>
      <c r="F81" s="64" t="str">
        <f t="shared" si="3"/>
        <v/>
      </c>
      <c r="G81" s="64" t="str">
        <f t="shared" si="4"/>
        <v/>
      </c>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64" t="str">
        <f t="array" ref="AF81">IFERROR(INDEX(Strategi!$H$5:$H$134,MATCH(LARGE(Strategi!$K$5:$K$134,76),Strategi!$K$5:$K$134,0)),"")</f>
        <v/>
      </c>
      <c r="AG81" s="3"/>
    </row>
    <row r="82" ht="24.0" customHeight="1">
      <c r="A82" s="64" t="str">
        <f>IFERROR(IF(ISNUMBER(LARGE(Strategi!$K$5:$K$134,77)),77,""),"")</f>
        <v/>
      </c>
      <c r="B82" s="83" t="str">
        <f t="array" ref="B82">IFERROR(INDEX(Strategi!$C$5:$C$134,MATCH(LARGE(Strategi!$K$5:$K$134,77),Strategi!$K$5:$K$134,0)),"")</f>
        <v/>
      </c>
      <c r="C82" s="64" t="str">
        <f t="array" ref="C82">IFERROR(INDEX(Strategi!$D$5:$D$134,MATCH(LARGE(Strategi!$K$5:$K$134,77),Strategi!$K$5:$K$134,0)),"")</f>
        <v/>
      </c>
      <c r="D82" s="83" t="str">
        <f t="array" ref="D82">IFERROR(IF(INDEX(Strategi!$G$5:$G$134,MATCH(LARGE(Strategi!$K$5:$K$134,77),Strategi!$K$5:$K$134,0))="","","("&amp;COUNTIFS($B$6:$B82,$B82,$C$6:$C82,$C82)&amp;") "&amp;INDEX(Strategi!$G$5:$G$134,MATCH(LARGE(Strategi!$K$5:$K$134,77),Strategi!$K$5:$K$134,0))),"")</f>
        <v/>
      </c>
      <c r="E82" s="64" t="str">
        <f t="array" ref="E82">IFERROR(INDEX(Strategi!$E$5:$E$134,MATCH(LARGE(Strategi!$K$5:$K$134,77),Strategi!$K$5:$K$134,0)),"")</f>
        <v/>
      </c>
      <c r="F82" s="64" t="str">
        <f t="shared" si="3"/>
        <v/>
      </c>
      <c r="G82" s="64" t="str">
        <f t="shared" si="4"/>
        <v/>
      </c>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64" t="str">
        <f t="array" ref="AF82">IFERROR(INDEX(Strategi!$H$5:$H$134,MATCH(LARGE(Strategi!$K$5:$K$134,77),Strategi!$K$5:$K$134,0)),"")</f>
        <v/>
      </c>
      <c r="AG82" s="3"/>
    </row>
    <row r="83" ht="24.0" customHeight="1">
      <c r="A83" s="64" t="str">
        <f>IFERROR(IF(ISNUMBER(LARGE(Strategi!$K$5:$K$134,78)),78,""),"")</f>
        <v/>
      </c>
      <c r="B83" s="83" t="str">
        <f t="array" ref="B83">IFERROR(INDEX(Strategi!$C$5:$C$134,MATCH(LARGE(Strategi!$K$5:$K$134,78),Strategi!$K$5:$K$134,0)),"")</f>
        <v/>
      </c>
      <c r="C83" s="64" t="str">
        <f t="array" ref="C83">IFERROR(INDEX(Strategi!$D$5:$D$134,MATCH(LARGE(Strategi!$K$5:$K$134,78),Strategi!$K$5:$K$134,0)),"")</f>
        <v/>
      </c>
      <c r="D83" s="83" t="str">
        <f t="array" ref="D83">IFERROR(IF(INDEX(Strategi!$G$5:$G$134,MATCH(LARGE(Strategi!$K$5:$K$134,78),Strategi!$K$5:$K$134,0))="","","("&amp;COUNTIFS($B$6:$B83,$B83,$C$6:$C83,$C83)&amp;") "&amp;INDEX(Strategi!$G$5:$G$134,MATCH(LARGE(Strategi!$K$5:$K$134,78),Strategi!$K$5:$K$134,0))),"")</f>
        <v/>
      </c>
      <c r="E83" s="64" t="str">
        <f t="array" ref="E83">IFERROR(INDEX(Strategi!$E$5:$E$134,MATCH(LARGE(Strategi!$K$5:$K$134,78),Strategi!$K$5:$K$134,0)),"")</f>
        <v/>
      </c>
      <c r="F83" s="64" t="str">
        <f t="shared" si="3"/>
        <v/>
      </c>
      <c r="G83" s="64" t="str">
        <f t="shared" si="4"/>
        <v/>
      </c>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t="str">
        <f t="array" ref="AF83">IFERROR(INDEX(Strategi!$H$5:$H$134,MATCH(LARGE(Strategi!$K$5:$K$134,78),Strategi!$K$5:$K$134,0)),"")</f>
        <v/>
      </c>
      <c r="AG83" s="3"/>
    </row>
    <row r="84" ht="24.0" customHeight="1">
      <c r="A84" s="64" t="str">
        <f>IFERROR(IF(ISNUMBER(LARGE(Strategi!$K$5:$K$134,79)),79,""),"")</f>
        <v/>
      </c>
      <c r="B84" s="83" t="str">
        <f t="array" ref="B84">IFERROR(INDEX(Strategi!$C$5:$C$134,MATCH(LARGE(Strategi!$K$5:$K$134,79),Strategi!$K$5:$K$134,0)),"")</f>
        <v/>
      </c>
      <c r="C84" s="64" t="str">
        <f t="array" ref="C84">IFERROR(INDEX(Strategi!$D$5:$D$134,MATCH(LARGE(Strategi!$K$5:$K$134,79),Strategi!$K$5:$K$134,0)),"")</f>
        <v/>
      </c>
      <c r="D84" s="83" t="str">
        <f t="array" ref="D84">IFERROR(IF(INDEX(Strategi!$G$5:$G$134,MATCH(LARGE(Strategi!$K$5:$K$134,79),Strategi!$K$5:$K$134,0))="","","("&amp;COUNTIFS($B$6:$B84,$B84,$C$6:$C84,$C84)&amp;") "&amp;INDEX(Strategi!$G$5:$G$134,MATCH(LARGE(Strategi!$K$5:$K$134,79),Strategi!$K$5:$K$134,0))),"")</f>
        <v/>
      </c>
      <c r="E84" s="64" t="str">
        <f t="array" ref="E84">IFERROR(INDEX(Strategi!$E$5:$E$134,MATCH(LARGE(Strategi!$K$5:$K$134,79),Strategi!$K$5:$K$134,0)),"")</f>
        <v/>
      </c>
      <c r="F84" s="64" t="str">
        <f t="shared" si="3"/>
        <v/>
      </c>
      <c r="G84" s="64" t="str">
        <f t="shared" si="4"/>
        <v/>
      </c>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t="str">
        <f t="array" ref="AF84">IFERROR(INDEX(Strategi!$H$5:$H$134,MATCH(LARGE(Strategi!$K$5:$K$134,79),Strategi!$K$5:$K$134,0)),"")</f>
        <v/>
      </c>
      <c r="AG84" s="3"/>
    </row>
    <row r="85" ht="24.0" customHeight="1">
      <c r="A85" s="64" t="str">
        <f>IFERROR(IF(ISNUMBER(LARGE(Strategi!$K$5:$K$134,80)),80,""),"")</f>
        <v/>
      </c>
      <c r="B85" s="83" t="str">
        <f t="array" ref="B85">IFERROR(INDEX(Strategi!$C$5:$C$134,MATCH(LARGE(Strategi!$K$5:$K$134,80),Strategi!$K$5:$K$134,0)),"")</f>
        <v/>
      </c>
      <c r="C85" s="64" t="str">
        <f t="array" ref="C85">IFERROR(INDEX(Strategi!$D$5:$D$134,MATCH(LARGE(Strategi!$K$5:$K$134,80),Strategi!$K$5:$K$134,0)),"")</f>
        <v/>
      </c>
      <c r="D85" s="83" t="str">
        <f t="array" ref="D85">IFERROR(IF(INDEX(Strategi!$G$5:$G$134,MATCH(LARGE(Strategi!$K$5:$K$134,80),Strategi!$K$5:$K$134,0))="","","("&amp;COUNTIFS($B$6:$B85,$B85,$C$6:$C85,$C85)&amp;") "&amp;INDEX(Strategi!$G$5:$G$134,MATCH(LARGE(Strategi!$K$5:$K$134,80),Strategi!$K$5:$K$134,0))),"")</f>
        <v/>
      </c>
      <c r="E85" s="64" t="str">
        <f t="array" ref="E85">IFERROR(INDEX(Strategi!$E$5:$E$134,MATCH(LARGE(Strategi!$K$5:$K$134,80),Strategi!$K$5:$K$134,0)),"")</f>
        <v/>
      </c>
      <c r="F85" s="64" t="str">
        <f t="shared" si="3"/>
        <v/>
      </c>
      <c r="G85" s="64" t="str">
        <f t="shared" si="4"/>
        <v/>
      </c>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t="str">
        <f t="array" ref="AF85">IFERROR(INDEX(Strategi!$H$5:$H$134,MATCH(LARGE(Strategi!$K$5:$K$134,80),Strategi!$K$5:$K$134,0)),"")</f>
        <v/>
      </c>
      <c r="AG85" s="3"/>
    </row>
    <row r="86" ht="24.0" customHeight="1">
      <c r="A86" s="64" t="str">
        <f>IFERROR(IF(ISNUMBER(LARGE(Strategi!$K$5:$K$134,81)),81,""),"")</f>
        <v/>
      </c>
      <c r="B86" s="83" t="str">
        <f t="array" ref="B86">IFERROR(INDEX(Strategi!$C$5:$C$134,MATCH(LARGE(Strategi!$K$5:$K$134,81),Strategi!$K$5:$K$134,0)),"")</f>
        <v/>
      </c>
      <c r="C86" s="64" t="str">
        <f t="array" ref="C86">IFERROR(INDEX(Strategi!$D$5:$D$134,MATCH(LARGE(Strategi!$K$5:$K$134,81),Strategi!$K$5:$K$134,0)),"")</f>
        <v/>
      </c>
      <c r="D86" s="83" t="str">
        <f t="array" ref="D86">IFERROR(IF(INDEX(Strategi!$G$5:$G$134,MATCH(LARGE(Strategi!$K$5:$K$134,81),Strategi!$K$5:$K$134,0))="","","("&amp;COUNTIFS($B$6:$B86,$B86,$C$6:$C86,$C86)&amp;") "&amp;INDEX(Strategi!$G$5:$G$134,MATCH(LARGE(Strategi!$K$5:$K$134,81),Strategi!$K$5:$K$134,0))),"")</f>
        <v/>
      </c>
      <c r="E86" s="64" t="str">
        <f t="array" ref="E86">IFERROR(INDEX(Strategi!$E$5:$E$134,MATCH(LARGE(Strategi!$K$5:$K$134,81),Strategi!$K$5:$K$134,0)),"")</f>
        <v/>
      </c>
      <c r="F86" s="64" t="str">
        <f t="shared" si="3"/>
        <v/>
      </c>
      <c r="G86" s="64" t="str">
        <f t="shared" si="4"/>
        <v/>
      </c>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t="str">
        <f t="array" ref="AF86">IFERROR(INDEX(Strategi!$H$5:$H$134,MATCH(LARGE(Strategi!$K$5:$K$134,81),Strategi!$K$5:$K$134,0)),"")</f>
        <v/>
      </c>
      <c r="AG86" s="3"/>
    </row>
    <row r="87" ht="24.0" customHeight="1">
      <c r="A87" s="64" t="str">
        <f>IFERROR(IF(ISNUMBER(LARGE(Strategi!$K$5:$K$134,82)),82,""),"")</f>
        <v/>
      </c>
      <c r="B87" s="83" t="str">
        <f t="array" ref="B87">IFERROR(INDEX(Strategi!$C$5:$C$134,MATCH(LARGE(Strategi!$K$5:$K$134,82),Strategi!$K$5:$K$134,0)),"")</f>
        <v/>
      </c>
      <c r="C87" s="64" t="str">
        <f t="array" ref="C87">IFERROR(INDEX(Strategi!$D$5:$D$134,MATCH(LARGE(Strategi!$K$5:$K$134,82),Strategi!$K$5:$K$134,0)),"")</f>
        <v/>
      </c>
      <c r="D87" s="83" t="str">
        <f t="array" ref="D87">IFERROR(IF(INDEX(Strategi!$G$5:$G$134,MATCH(LARGE(Strategi!$K$5:$K$134,82),Strategi!$K$5:$K$134,0))="","","("&amp;COUNTIFS($B$6:$B87,$B87,$C$6:$C87,$C87)&amp;") "&amp;INDEX(Strategi!$G$5:$G$134,MATCH(LARGE(Strategi!$K$5:$K$134,82),Strategi!$K$5:$K$134,0))),"")</f>
        <v/>
      </c>
      <c r="E87" s="64" t="str">
        <f t="array" ref="E87">IFERROR(INDEX(Strategi!$E$5:$E$134,MATCH(LARGE(Strategi!$K$5:$K$134,82),Strategi!$K$5:$K$134,0)),"")</f>
        <v/>
      </c>
      <c r="F87" s="64" t="str">
        <f t="shared" si="3"/>
        <v/>
      </c>
      <c r="G87" s="64" t="str">
        <f t="shared" si="4"/>
        <v/>
      </c>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t="str">
        <f t="array" ref="AF87">IFERROR(INDEX(Strategi!$H$5:$H$134,MATCH(LARGE(Strategi!$K$5:$K$134,82),Strategi!$K$5:$K$134,0)),"")</f>
        <v/>
      </c>
      <c r="AG87" s="3"/>
    </row>
    <row r="88" ht="24.0" customHeight="1">
      <c r="A88" s="64" t="str">
        <f>IFERROR(IF(ISNUMBER(LARGE(Strategi!$K$5:$K$134,83)),83,""),"")</f>
        <v/>
      </c>
      <c r="B88" s="83" t="str">
        <f t="array" ref="B88">IFERROR(INDEX(Strategi!$C$5:$C$134,MATCH(LARGE(Strategi!$K$5:$K$134,83),Strategi!$K$5:$K$134,0)),"")</f>
        <v/>
      </c>
      <c r="C88" s="64" t="str">
        <f t="array" ref="C88">IFERROR(INDEX(Strategi!$D$5:$D$134,MATCH(LARGE(Strategi!$K$5:$K$134,83),Strategi!$K$5:$K$134,0)),"")</f>
        <v/>
      </c>
      <c r="D88" s="83" t="str">
        <f t="array" ref="D88">IFERROR(IF(INDEX(Strategi!$G$5:$G$134,MATCH(LARGE(Strategi!$K$5:$K$134,83),Strategi!$K$5:$K$134,0))="","","("&amp;COUNTIFS($B$6:$B88,$B88,$C$6:$C88,$C88)&amp;") "&amp;INDEX(Strategi!$G$5:$G$134,MATCH(LARGE(Strategi!$K$5:$K$134,83),Strategi!$K$5:$K$134,0))),"")</f>
        <v/>
      </c>
      <c r="E88" s="64" t="str">
        <f t="array" ref="E88">IFERROR(INDEX(Strategi!$E$5:$E$134,MATCH(LARGE(Strategi!$K$5:$K$134,83),Strategi!$K$5:$K$134,0)),"")</f>
        <v/>
      </c>
      <c r="F88" s="64" t="str">
        <f t="shared" si="3"/>
        <v/>
      </c>
      <c r="G88" s="64" t="str">
        <f t="shared" si="4"/>
        <v/>
      </c>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t="str">
        <f t="array" ref="AF88">IFERROR(INDEX(Strategi!$H$5:$H$134,MATCH(LARGE(Strategi!$K$5:$K$134,83),Strategi!$K$5:$K$134,0)),"")</f>
        <v/>
      </c>
      <c r="AG88" s="3"/>
    </row>
    <row r="89" ht="24.0" customHeight="1">
      <c r="A89" s="64" t="str">
        <f>IFERROR(IF(ISNUMBER(LARGE(Strategi!$K$5:$K$134,84)),84,""),"")</f>
        <v/>
      </c>
      <c r="B89" s="83" t="str">
        <f t="array" ref="B89">IFERROR(INDEX(Strategi!$C$5:$C$134,MATCH(LARGE(Strategi!$K$5:$K$134,84),Strategi!$K$5:$K$134,0)),"")</f>
        <v/>
      </c>
      <c r="C89" s="64" t="str">
        <f t="array" ref="C89">IFERROR(INDEX(Strategi!$D$5:$D$134,MATCH(LARGE(Strategi!$K$5:$K$134,84),Strategi!$K$5:$K$134,0)),"")</f>
        <v/>
      </c>
      <c r="D89" s="83" t="str">
        <f t="array" ref="D89">IFERROR(IF(INDEX(Strategi!$G$5:$G$134,MATCH(LARGE(Strategi!$K$5:$K$134,84),Strategi!$K$5:$K$134,0))="","","("&amp;COUNTIFS($B$6:$B89,$B89,$C$6:$C89,$C89)&amp;") "&amp;INDEX(Strategi!$G$5:$G$134,MATCH(LARGE(Strategi!$K$5:$K$134,84),Strategi!$K$5:$K$134,0))),"")</f>
        <v/>
      </c>
      <c r="E89" s="64" t="str">
        <f t="array" ref="E89">IFERROR(INDEX(Strategi!$E$5:$E$134,MATCH(LARGE(Strategi!$K$5:$K$134,84),Strategi!$K$5:$K$134,0)),"")</f>
        <v/>
      </c>
      <c r="F89" s="64" t="str">
        <f t="shared" si="3"/>
        <v/>
      </c>
      <c r="G89" s="64" t="str">
        <f t="shared" si="4"/>
        <v/>
      </c>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t="str">
        <f t="array" ref="AF89">IFERROR(INDEX(Strategi!$H$5:$H$134,MATCH(LARGE(Strategi!$K$5:$K$134,84),Strategi!$K$5:$K$134,0)),"")</f>
        <v/>
      </c>
      <c r="AG89" s="3"/>
    </row>
    <row r="90" ht="24.0" customHeight="1">
      <c r="A90" s="64" t="str">
        <f>IFERROR(IF(ISNUMBER(LARGE(Strategi!$K$5:$K$134,85)),85,""),"")</f>
        <v/>
      </c>
      <c r="B90" s="83" t="str">
        <f t="array" ref="B90">IFERROR(INDEX(Strategi!$C$5:$C$134,MATCH(LARGE(Strategi!$K$5:$K$134,85),Strategi!$K$5:$K$134,0)),"")</f>
        <v/>
      </c>
      <c r="C90" s="64" t="str">
        <f t="array" ref="C90">IFERROR(INDEX(Strategi!$D$5:$D$134,MATCH(LARGE(Strategi!$K$5:$K$134,85),Strategi!$K$5:$K$134,0)),"")</f>
        <v/>
      </c>
      <c r="D90" s="83" t="str">
        <f t="array" ref="D90">IFERROR(IF(INDEX(Strategi!$G$5:$G$134,MATCH(LARGE(Strategi!$K$5:$K$134,85),Strategi!$K$5:$K$134,0))="","","("&amp;COUNTIFS($B$6:$B90,$B90,$C$6:$C90,$C90)&amp;") "&amp;INDEX(Strategi!$G$5:$G$134,MATCH(LARGE(Strategi!$K$5:$K$134,85),Strategi!$K$5:$K$134,0))),"")</f>
        <v/>
      </c>
      <c r="E90" s="64" t="str">
        <f t="array" ref="E90">IFERROR(INDEX(Strategi!$E$5:$E$134,MATCH(LARGE(Strategi!$K$5:$K$134,85),Strategi!$K$5:$K$134,0)),"")</f>
        <v/>
      </c>
      <c r="F90" s="64" t="str">
        <f t="shared" si="3"/>
        <v/>
      </c>
      <c r="G90" s="64" t="str">
        <f t="shared" si="4"/>
        <v/>
      </c>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t="str">
        <f t="array" ref="AF90">IFERROR(INDEX(Strategi!$H$5:$H$134,MATCH(LARGE(Strategi!$K$5:$K$134,85),Strategi!$K$5:$K$134,0)),"")</f>
        <v/>
      </c>
      <c r="AG90" s="3"/>
    </row>
    <row r="91" ht="24.0" customHeight="1">
      <c r="A91" s="64" t="str">
        <f>IFERROR(IF(ISNUMBER(LARGE(Strategi!$K$5:$K$134,86)),86,""),"")</f>
        <v/>
      </c>
      <c r="B91" s="83" t="str">
        <f t="array" ref="B91">IFERROR(INDEX(Strategi!$C$5:$C$134,MATCH(LARGE(Strategi!$K$5:$K$134,86),Strategi!$K$5:$K$134,0)),"")</f>
        <v/>
      </c>
      <c r="C91" s="64" t="str">
        <f t="array" ref="C91">IFERROR(INDEX(Strategi!$D$5:$D$134,MATCH(LARGE(Strategi!$K$5:$K$134,86),Strategi!$K$5:$K$134,0)),"")</f>
        <v/>
      </c>
      <c r="D91" s="83" t="str">
        <f t="array" ref="D91">IFERROR(IF(INDEX(Strategi!$G$5:$G$134,MATCH(LARGE(Strategi!$K$5:$K$134,86),Strategi!$K$5:$K$134,0))="","","("&amp;COUNTIFS($B$6:$B91,$B91,$C$6:$C91,$C91)&amp;") "&amp;INDEX(Strategi!$G$5:$G$134,MATCH(LARGE(Strategi!$K$5:$K$134,86),Strategi!$K$5:$K$134,0))),"")</f>
        <v/>
      </c>
      <c r="E91" s="64" t="str">
        <f t="array" ref="E91">IFERROR(INDEX(Strategi!$E$5:$E$134,MATCH(LARGE(Strategi!$K$5:$K$134,86),Strategi!$K$5:$K$134,0)),"")</f>
        <v/>
      </c>
      <c r="F91" s="64" t="str">
        <f t="shared" si="3"/>
        <v/>
      </c>
      <c r="G91" s="64" t="str">
        <f t="shared" si="4"/>
        <v/>
      </c>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t="str">
        <f t="array" ref="AF91">IFERROR(INDEX(Strategi!$H$5:$H$134,MATCH(LARGE(Strategi!$K$5:$K$134,86),Strategi!$K$5:$K$134,0)),"")</f>
        <v/>
      </c>
      <c r="AG91" s="3"/>
    </row>
    <row r="92" ht="24.0" customHeight="1">
      <c r="A92" s="64" t="str">
        <f>IFERROR(IF(ISNUMBER(LARGE(Strategi!$K$5:$K$134,87)),87,""),"")</f>
        <v/>
      </c>
      <c r="B92" s="83" t="str">
        <f t="array" ref="B92">IFERROR(INDEX(Strategi!$C$5:$C$134,MATCH(LARGE(Strategi!$K$5:$K$134,87),Strategi!$K$5:$K$134,0)),"")</f>
        <v/>
      </c>
      <c r="C92" s="64" t="str">
        <f t="array" ref="C92">IFERROR(INDEX(Strategi!$D$5:$D$134,MATCH(LARGE(Strategi!$K$5:$K$134,87),Strategi!$K$5:$K$134,0)),"")</f>
        <v/>
      </c>
      <c r="D92" s="83" t="str">
        <f t="array" ref="D92">IFERROR(IF(INDEX(Strategi!$G$5:$G$134,MATCH(LARGE(Strategi!$K$5:$K$134,87),Strategi!$K$5:$K$134,0))="","","("&amp;COUNTIFS($B$6:$B92,$B92,$C$6:$C92,$C92)&amp;") "&amp;INDEX(Strategi!$G$5:$G$134,MATCH(LARGE(Strategi!$K$5:$K$134,87),Strategi!$K$5:$K$134,0))),"")</f>
        <v/>
      </c>
      <c r="E92" s="64" t="str">
        <f t="array" ref="E92">IFERROR(INDEX(Strategi!$E$5:$E$134,MATCH(LARGE(Strategi!$K$5:$K$134,87),Strategi!$K$5:$K$134,0)),"")</f>
        <v/>
      </c>
      <c r="F92" s="64" t="str">
        <f t="shared" si="3"/>
        <v/>
      </c>
      <c r="G92" s="64" t="str">
        <f t="shared" si="4"/>
        <v/>
      </c>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t="str">
        <f t="array" ref="AF92">IFERROR(INDEX(Strategi!$H$5:$H$134,MATCH(LARGE(Strategi!$K$5:$K$134,87),Strategi!$K$5:$K$134,0)),"")</f>
        <v/>
      </c>
      <c r="AG92" s="3"/>
    </row>
    <row r="93" ht="24.0" customHeight="1">
      <c r="A93" s="64" t="str">
        <f>IFERROR(IF(ISNUMBER(LARGE(Strategi!$K$5:$K$134,88)),88,""),"")</f>
        <v/>
      </c>
      <c r="B93" s="83" t="str">
        <f t="array" ref="B93">IFERROR(INDEX(Strategi!$C$5:$C$134,MATCH(LARGE(Strategi!$K$5:$K$134,88),Strategi!$K$5:$K$134,0)),"")</f>
        <v/>
      </c>
      <c r="C93" s="64" t="str">
        <f t="array" ref="C93">IFERROR(INDEX(Strategi!$D$5:$D$134,MATCH(LARGE(Strategi!$K$5:$K$134,88),Strategi!$K$5:$K$134,0)),"")</f>
        <v/>
      </c>
      <c r="D93" s="83" t="str">
        <f t="array" ref="D93">IFERROR(IF(INDEX(Strategi!$G$5:$G$134,MATCH(LARGE(Strategi!$K$5:$K$134,88),Strategi!$K$5:$K$134,0))="","","("&amp;COUNTIFS($B$6:$B93,$B93,$C$6:$C93,$C93)&amp;") "&amp;INDEX(Strategi!$G$5:$G$134,MATCH(LARGE(Strategi!$K$5:$K$134,88),Strategi!$K$5:$K$134,0))),"")</f>
        <v/>
      </c>
      <c r="E93" s="64" t="str">
        <f t="array" ref="E93">IFERROR(INDEX(Strategi!$E$5:$E$134,MATCH(LARGE(Strategi!$K$5:$K$134,88),Strategi!$K$5:$K$134,0)),"")</f>
        <v/>
      </c>
      <c r="F93" s="64" t="str">
        <f t="shared" si="3"/>
        <v/>
      </c>
      <c r="G93" s="64" t="str">
        <f t="shared" si="4"/>
        <v/>
      </c>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t="str">
        <f t="array" ref="AF93">IFERROR(INDEX(Strategi!$H$5:$H$134,MATCH(LARGE(Strategi!$K$5:$K$134,88),Strategi!$K$5:$K$134,0)),"")</f>
        <v/>
      </c>
      <c r="AG93" s="3"/>
    </row>
    <row r="94" ht="24.0" customHeight="1">
      <c r="A94" s="64" t="str">
        <f>IFERROR(IF(ISNUMBER(LARGE(Strategi!$K$5:$K$134,89)),89,""),"")</f>
        <v/>
      </c>
      <c r="B94" s="83" t="str">
        <f t="array" ref="B94">IFERROR(INDEX(Strategi!$C$5:$C$134,MATCH(LARGE(Strategi!$K$5:$K$134,89),Strategi!$K$5:$K$134,0)),"")</f>
        <v/>
      </c>
      <c r="C94" s="64" t="str">
        <f t="array" ref="C94">IFERROR(INDEX(Strategi!$D$5:$D$134,MATCH(LARGE(Strategi!$K$5:$K$134,89),Strategi!$K$5:$K$134,0)),"")</f>
        <v/>
      </c>
      <c r="D94" s="83" t="str">
        <f t="array" ref="D94">IFERROR(IF(INDEX(Strategi!$G$5:$G$134,MATCH(LARGE(Strategi!$K$5:$K$134,89),Strategi!$K$5:$K$134,0))="","","("&amp;COUNTIFS($B$6:$B94,$B94,$C$6:$C94,$C94)&amp;") "&amp;INDEX(Strategi!$G$5:$G$134,MATCH(LARGE(Strategi!$K$5:$K$134,89),Strategi!$K$5:$K$134,0))),"")</f>
        <v/>
      </c>
      <c r="E94" s="64" t="str">
        <f t="array" ref="E94">IFERROR(INDEX(Strategi!$E$5:$E$134,MATCH(LARGE(Strategi!$K$5:$K$134,89),Strategi!$K$5:$K$134,0)),"")</f>
        <v/>
      </c>
      <c r="F94" s="64" t="str">
        <f t="shared" si="3"/>
        <v/>
      </c>
      <c r="G94" s="64" t="str">
        <f t="shared" si="4"/>
        <v/>
      </c>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t="str">
        <f t="array" ref="AF94">IFERROR(INDEX(Strategi!$H$5:$H$134,MATCH(LARGE(Strategi!$K$5:$K$134,89),Strategi!$K$5:$K$134,0)),"")</f>
        <v/>
      </c>
      <c r="AG94" s="3"/>
    </row>
    <row r="95" ht="24.0" customHeight="1">
      <c r="A95" s="64" t="str">
        <f>IFERROR(IF(ISNUMBER(LARGE(Strategi!$K$5:$K$134,90)),90,""),"")</f>
        <v/>
      </c>
      <c r="B95" s="83" t="str">
        <f t="array" ref="B95">IFERROR(INDEX(Strategi!$C$5:$C$134,MATCH(LARGE(Strategi!$K$5:$K$134,90),Strategi!$K$5:$K$134,0)),"")</f>
        <v/>
      </c>
      <c r="C95" s="64" t="str">
        <f t="array" ref="C95">IFERROR(INDEX(Strategi!$D$5:$D$134,MATCH(LARGE(Strategi!$K$5:$K$134,90),Strategi!$K$5:$K$134,0)),"")</f>
        <v/>
      </c>
      <c r="D95" s="83" t="str">
        <f t="array" ref="D95">IFERROR(IF(INDEX(Strategi!$G$5:$G$134,MATCH(LARGE(Strategi!$K$5:$K$134,90),Strategi!$K$5:$K$134,0))="","","("&amp;COUNTIFS($B$6:$B95,$B95,$C$6:$C95,$C95)&amp;") "&amp;INDEX(Strategi!$G$5:$G$134,MATCH(LARGE(Strategi!$K$5:$K$134,90),Strategi!$K$5:$K$134,0))),"")</f>
        <v/>
      </c>
      <c r="E95" s="64" t="str">
        <f t="array" ref="E95">IFERROR(INDEX(Strategi!$E$5:$E$134,MATCH(LARGE(Strategi!$K$5:$K$134,90),Strategi!$K$5:$K$134,0)),"")</f>
        <v/>
      </c>
      <c r="F95" s="64" t="str">
        <f t="shared" si="3"/>
        <v/>
      </c>
      <c r="G95" s="64" t="str">
        <f t="shared" si="4"/>
        <v/>
      </c>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t="str">
        <f t="array" ref="AF95">IFERROR(INDEX(Strategi!$H$5:$H$134,MATCH(LARGE(Strategi!$K$5:$K$134,90),Strategi!$K$5:$K$134,0)),"")</f>
        <v/>
      </c>
      <c r="AG95" s="3"/>
    </row>
    <row r="96" ht="24.0" customHeight="1">
      <c r="A96" s="64" t="str">
        <f>IFERROR(IF(ISNUMBER(LARGE(Strategi!$K$5:$K$134,91)),91,""),"")</f>
        <v/>
      </c>
      <c r="B96" s="83" t="str">
        <f t="array" ref="B96">IFERROR(INDEX(Strategi!$C$5:$C$134,MATCH(LARGE(Strategi!$K$5:$K$134,91),Strategi!$K$5:$K$134,0)),"")</f>
        <v/>
      </c>
      <c r="C96" s="64" t="str">
        <f t="array" ref="C96">IFERROR(INDEX(Strategi!$D$5:$D$134,MATCH(LARGE(Strategi!$K$5:$K$134,91),Strategi!$K$5:$K$134,0)),"")</f>
        <v/>
      </c>
      <c r="D96" s="83" t="str">
        <f t="array" ref="D96">IFERROR(IF(INDEX(Strategi!$G$5:$G$134,MATCH(LARGE(Strategi!$K$5:$K$134,91),Strategi!$K$5:$K$134,0))="","","("&amp;COUNTIFS($B$6:$B96,$B96,$C$6:$C96,$C96)&amp;") "&amp;INDEX(Strategi!$G$5:$G$134,MATCH(LARGE(Strategi!$K$5:$K$134,91),Strategi!$K$5:$K$134,0))),"")</f>
        <v/>
      </c>
      <c r="E96" s="64" t="str">
        <f t="array" ref="E96">IFERROR(INDEX(Strategi!$E$5:$E$134,MATCH(LARGE(Strategi!$K$5:$K$134,91),Strategi!$K$5:$K$134,0)),"")</f>
        <v/>
      </c>
      <c r="F96" s="64" t="str">
        <f t="shared" si="3"/>
        <v/>
      </c>
      <c r="G96" s="64" t="str">
        <f t="shared" si="4"/>
        <v/>
      </c>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t="str">
        <f t="array" ref="AF96">IFERROR(INDEX(Strategi!$H$5:$H$134,MATCH(LARGE(Strategi!$K$5:$K$134,91),Strategi!$K$5:$K$134,0)),"")</f>
        <v/>
      </c>
      <c r="AG96" s="3"/>
    </row>
    <row r="97" ht="24.0" customHeight="1">
      <c r="A97" s="64" t="str">
        <f>IFERROR(IF(ISNUMBER(LARGE(Strategi!$K$5:$K$134,92)),92,""),"")</f>
        <v/>
      </c>
      <c r="B97" s="83" t="str">
        <f t="array" ref="B97">IFERROR(INDEX(Strategi!$C$5:$C$134,MATCH(LARGE(Strategi!$K$5:$K$134,92),Strategi!$K$5:$K$134,0)),"")</f>
        <v/>
      </c>
      <c r="C97" s="64" t="str">
        <f t="array" ref="C97">IFERROR(INDEX(Strategi!$D$5:$D$134,MATCH(LARGE(Strategi!$K$5:$K$134,92),Strategi!$K$5:$K$134,0)),"")</f>
        <v/>
      </c>
      <c r="D97" s="83" t="str">
        <f t="array" ref="D97">IFERROR(IF(INDEX(Strategi!$G$5:$G$134,MATCH(LARGE(Strategi!$K$5:$K$134,92),Strategi!$K$5:$K$134,0))="","","("&amp;COUNTIFS($B$6:$B97,$B97,$C$6:$C97,$C97)&amp;") "&amp;INDEX(Strategi!$G$5:$G$134,MATCH(LARGE(Strategi!$K$5:$K$134,92),Strategi!$K$5:$K$134,0))),"")</f>
        <v/>
      </c>
      <c r="E97" s="64" t="str">
        <f t="array" ref="E97">IFERROR(INDEX(Strategi!$E$5:$E$134,MATCH(LARGE(Strategi!$K$5:$K$134,92),Strategi!$K$5:$K$134,0)),"")</f>
        <v/>
      </c>
      <c r="F97" s="64" t="str">
        <f t="shared" si="3"/>
        <v/>
      </c>
      <c r="G97" s="64" t="str">
        <f t="shared" si="4"/>
        <v/>
      </c>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t="str">
        <f t="array" ref="AF97">IFERROR(INDEX(Strategi!$H$5:$H$134,MATCH(LARGE(Strategi!$K$5:$K$134,92),Strategi!$K$5:$K$134,0)),"")</f>
        <v/>
      </c>
      <c r="AG97" s="3"/>
    </row>
    <row r="98" ht="24.0" customHeight="1">
      <c r="A98" s="64" t="str">
        <f>IFERROR(IF(ISNUMBER(LARGE(Strategi!$K$5:$K$134,93)),93,""),"")</f>
        <v/>
      </c>
      <c r="B98" s="83" t="str">
        <f t="array" ref="B98">IFERROR(INDEX(Strategi!$C$5:$C$134,MATCH(LARGE(Strategi!$K$5:$K$134,93),Strategi!$K$5:$K$134,0)),"")</f>
        <v/>
      </c>
      <c r="C98" s="64" t="str">
        <f t="array" ref="C98">IFERROR(INDEX(Strategi!$D$5:$D$134,MATCH(LARGE(Strategi!$K$5:$K$134,93),Strategi!$K$5:$K$134,0)),"")</f>
        <v/>
      </c>
      <c r="D98" s="83" t="str">
        <f t="array" ref="D98">IFERROR(IF(INDEX(Strategi!$G$5:$G$134,MATCH(LARGE(Strategi!$K$5:$K$134,93),Strategi!$K$5:$K$134,0))="","","("&amp;COUNTIFS($B$6:$B98,$B98,$C$6:$C98,$C98)&amp;") "&amp;INDEX(Strategi!$G$5:$G$134,MATCH(LARGE(Strategi!$K$5:$K$134,93),Strategi!$K$5:$K$134,0))),"")</f>
        <v/>
      </c>
      <c r="E98" s="64" t="str">
        <f t="array" ref="E98">IFERROR(INDEX(Strategi!$E$5:$E$134,MATCH(LARGE(Strategi!$K$5:$K$134,93),Strategi!$K$5:$K$134,0)),"")</f>
        <v/>
      </c>
      <c r="F98" s="64" t="str">
        <f t="shared" si="3"/>
        <v/>
      </c>
      <c r="G98" s="64" t="str">
        <f t="shared" si="4"/>
        <v/>
      </c>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t="str">
        <f t="array" ref="AF98">IFERROR(INDEX(Strategi!$H$5:$H$134,MATCH(LARGE(Strategi!$K$5:$K$134,93),Strategi!$K$5:$K$134,0)),"")</f>
        <v/>
      </c>
      <c r="AG98" s="3"/>
    </row>
    <row r="99" ht="24.0" customHeight="1">
      <c r="A99" s="64" t="str">
        <f>IFERROR(IF(ISNUMBER(LARGE(Strategi!$K$5:$K$134,94)),94,""),"")</f>
        <v/>
      </c>
      <c r="B99" s="83" t="str">
        <f t="array" ref="B99">IFERROR(INDEX(Strategi!$C$5:$C$134,MATCH(LARGE(Strategi!$K$5:$K$134,94),Strategi!$K$5:$K$134,0)),"")</f>
        <v/>
      </c>
      <c r="C99" s="64" t="str">
        <f t="array" ref="C99">IFERROR(INDEX(Strategi!$D$5:$D$134,MATCH(LARGE(Strategi!$K$5:$K$134,94),Strategi!$K$5:$K$134,0)),"")</f>
        <v/>
      </c>
      <c r="D99" s="83" t="str">
        <f t="array" ref="D99">IFERROR(IF(INDEX(Strategi!$G$5:$G$134,MATCH(LARGE(Strategi!$K$5:$K$134,94),Strategi!$K$5:$K$134,0))="","","("&amp;COUNTIFS($B$6:$B99,$B99,$C$6:$C99,$C99)&amp;") "&amp;INDEX(Strategi!$G$5:$G$134,MATCH(LARGE(Strategi!$K$5:$K$134,94),Strategi!$K$5:$K$134,0))),"")</f>
        <v/>
      </c>
      <c r="E99" s="64" t="str">
        <f t="array" ref="E99">IFERROR(INDEX(Strategi!$E$5:$E$134,MATCH(LARGE(Strategi!$K$5:$K$134,94),Strategi!$K$5:$K$134,0)),"")</f>
        <v/>
      </c>
      <c r="F99" s="64" t="str">
        <f t="shared" si="3"/>
        <v/>
      </c>
      <c r="G99" s="64" t="str">
        <f t="shared" si="4"/>
        <v/>
      </c>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t="str">
        <f t="array" ref="AF99">IFERROR(INDEX(Strategi!$H$5:$H$134,MATCH(LARGE(Strategi!$K$5:$K$134,94),Strategi!$K$5:$K$134,0)),"")</f>
        <v/>
      </c>
      <c r="AG99" s="3"/>
    </row>
    <row r="100" ht="24.0" customHeight="1">
      <c r="A100" s="64" t="str">
        <f>IFERROR(IF(ISNUMBER(LARGE(Strategi!$K$5:$K$134,95)),95,""),"")</f>
        <v/>
      </c>
      <c r="B100" s="83" t="str">
        <f t="array" ref="B100">IFERROR(INDEX(Strategi!$C$5:$C$134,MATCH(LARGE(Strategi!$K$5:$K$134,95),Strategi!$K$5:$K$134,0)),"")</f>
        <v/>
      </c>
      <c r="C100" s="64" t="str">
        <f t="array" ref="C100">IFERROR(INDEX(Strategi!$D$5:$D$134,MATCH(LARGE(Strategi!$K$5:$K$134,95),Strategi!$K$5:$K$134,0)),"")</f>
        <v/>
      </c>
      <c r="D100" s="83" t="str">
        <f t="array" ref="D100">IFERROR(IF(INDEX(Strategi!$G$5:$G$134,MATCH(LARGE(Strategi!$K$5:$K$134,95),Strategi!$K$5:$K$134,0))="","","("&amp;COUNTIFS($B$6:$B100,$B100,$C$6:$C100,$C100)&amp;") "&amp;INDEX(Strategi!$G$5:$G$134,MATCH(LARGE(Strategi!$K$5:$K$134,95),Strategi!$K$5:$K$134,0))),"")</f>
        <v/>
      </c>
      <c r="E100" s="64" t="str">
        <f t="array" ref="E100">IFERROR(INDEX(Strategi!$E$5:$E$134,MATCH(LARGE(Strategi!$K$5:$K$134,95),Strategi!$K$5:$K$134,0)),"")</f>
        <v/>
      </c>
      <c r="F100" s="64" t="str">
        <f t="shared" si="3"/>
        <v/>
      </c>
      <c r="G100" s="64" t="str">
        <f t="shared" si="4"/>
        <v/>
      </c>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t="str">
        <f t="array" ref="AF100">IFERROR(INDEX(Strategi!$H$5:$H$134,MATCH(LARGE(Strategi!$K$5:$K$134,95),Strategi!$K$5:$K$134,0)),"")</f>
        <v/>
      </c>
      <c r="AG100" s="3"/>
    </row>
    <row r="101" ht="24.0" customHeight="1">
      <c r="A101" s="64" t="str">
        <f>IFERROR(IF(ISNUMBER(LARGE(Strategi!$K$5:$K$134,96)),96,""),"")</f>
        <v/>
      </c>
      <c r="B101" s="83" t="str">
        <f t="array" ref="B101">IFERROR(INDEX(Strategi!$C$5:$C$134,MATCH(LARGE(Strategi!$K$5:$K$134,96),Strategi!$K$5:$K$134,0)),"")</f>
        <v/>
      </c>
      <c r="C101" s="64" t="str">
        <f t="array" ref="C101">IFERROR(INDEX(Strategi!$D$5:$D$134,MATCH(LARGE(Strategi!$K$5:$K$134,96),Strategi!$K$5:$K$134,0)),"")</f>
        <v/>
      </c>
      <c r="D101" s="83" t="str">
        <f t="array" ref="D101">IFERROR(IF(INDEX(Strategi!$G$5:$G$134,MATCH(LARGE(Strategi!$K$5:$K$134,96),Strategi!$K$5:$K$134,0))="","","("&amp;COUNTIFS($B$6:$B101,$B101,$C$6:$C101,$C101)&amp;") "&amp;INDEX(Strategi!$G$5:$G$134,MATCH(LARGE(Strategi!$K$5:$K$134,96),Strategi!$K$5:$K$134,0))),"")</f>
        <v/>
      </c>
      <c r="E101" s="64" t="str">
        <f t="array" ref="E101">IFERROR(INDEX(Strategi!$E$5:$E$134,MATCH(LARGE(Strategi!$K$5:$K$134,96),Strategi!$K$5:$K$134,0)),"")</f>
        <v/>
      </c>
      <c r="F101" s="64" t="str">
        <f t="shared" si="3"/>
        <v/>
      </c>
      <c r="G101" s="64" t="str">
        <f t="shared" si="4"/>
        <v/>
      </c>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t="str">
        <f t="array" ref="AF101">IFERROR(INDEX(Strategi!$H$5:$H$134,MATCH(LARGE(Strategi!$K$5:$K$134,96),Strategi!$K$5:$K$134,0)),"")</f>
        <v/>
      </c>
      <c r="AG101" s="3"/>
    </row>
    <row r="102" ht="24.0" customHeight="1">
      <c r="A102" s="64" t="str">
        <f>IFERROR(IF(ISNUMBER(LARGE(Strategi!$K$5:$K$134,97)),97,""),"")</f>
        <v/>
      </c>
      <c r="B102" s="83" t="str">
        <f t="array" ref="B102">IFERROR(INDEX(Strategi!$C$5:$C$134,MATCH(LARGE(Strategi!$K$5:$K$134,97),Strategi!$K$5:$K$134,0)),"")</f>
        <v/>
      </c>
      <c r="C102" s="64" t="str">
        <f t="array" ref="C102">IFERROR(INDEX(Strategi!$D$5:$D$134,MATCH(LARGE(Strategi!$K$5:$K$134,97),Strategi!$K$5:$K$134,0)),"")</f>
        <v/>
      </c>
      <c r="D102" s="83" t="str">
        <f t="array" ref="D102">IFERROR(IF(INDEX(Strategi!$G$5:$G$134,MATCH(LARGE(Strategi!$K$5:$K$134,97),Strategi!$K$5:$K$134,0))="","","("&amp;COUNTIFS($B$6:$B102,$B102,$C$6:$C102,$C102)&amp;") "&amp;INDEX(Strategi!$G$5:$G$134,MATCH(LARGE(Strategi!$K$5:$K$134,97),Strategi!$K$5:$K$134,0))),"")</f>
        <v/>
      </c>
      <c r="E102" s="64" t="str">
        <f t="array" ref="E102">IFERROR(INDEX(Strategi!$E$5:$E$134,MATCH(LARGE(Strategi!$K$5:$K$134,97),Strategi!$K$5:$K$134,0)),"")</f>
        <v/>
      </c>
      <c r="F102" s="64" t="str">
        <f t="shared" si="3"/>
        <v/>
      </c>
      <c r="G102" s="64" t="str">
        <f t="shared" si="4"/>
        <v/>
      </c>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t="str">
        <f t="array" ref="AF102">IFERROR(INDEX(Strategi!$H$5:$H$134,MATCH(LARGE(Strategi!$K$5:$K$134,97),Strategi!$K$5:$K$134,0)),"")</f>
        <v/>
      </c>
      <c r="AG102" s="3"/>
    </row>
    <row r="103" ht="24.0" customHeight="1">
      <c r="A103" s="64" t="str">
        <f>IFERROR(IF(ISNUMBER(LARGE(Strategi!$K$5:$K$134,98)),98,""),"")</f>
        <v/>
      </c>
      <c r="B103" s="83" t="str">
        <f t="array" ref="B103">IFERROR(INDEX(Strategi!$C$5:$C$134,MATCH(LARGE(Strategi!$K$5:$K$134,98),Strategi!$K$5:$K$134,0)),"")</f>
        <v/>
      </c>
      <c r="C103" s="64" t="str">
        <f t="array" ref="C103">IFERROR(INDEX(Strategi!$D$5:$D$134,MATCH(LARGE(Strategi!$K$5:$K$134,98),Strategi!$K$5:$K$134,0)),"")</f>
        <v/>
      </c>
      <c r="D103" s="83" t="str">
        <f t="array" ref="D103">IFERROR(IF(INDEX(Strategi!$G$5:$G$134,MATCH(LARGE(Strategi!$K$5:$K$134,98),Strategi!$K$5:$K$134,0))="","","("&amp;COUNTIFS($B$6:$B103,$B103,$C$6:$C103,$C103)&amp;") "&amp;INDEX(Strategi!$G$5:$G$134,MATCH(LARGE(Strategi!$K$5:$K$134,98),Strategi!$K$5:$K$134,0))),"")</f>
        <v/>
      </c>
      <c r="E103" s="64" t="str">
        <f t="array" ref="E103">IFERROR(INDEX(Strategi!$E$5:$E$134,MATCH(LARGE(Strategi!$K$5:$K$134,98),Strategi!$K$5:$K$134,0)),"")</f>
        <v/>
      </c>
      <c r="F103" s="64" t="str">
        <f t="shared" si="3"/>
        <v/>
      </c>
      <c r="G103" s="64" t="str">
        <f t="shared" si="4"/>
        <v/>
      </c>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t="str">
        <f t="array" ref="AF103">IFERROR(INDEX(Strategi!$H$5:$H$134,MATCH(LARGE(Strategi!$K$5:$K$134,98),Strategi!$K$5:$K$134,0)),"")</f>
        <v/>
      </c>
      <c r="AG103" s="3"/>
    </row>
    <row r="104" ht="24.0" customHeight="1">
      <c r="A104" s="64" t="str">
        <f>IFERROR(IF(ISNUMBER(LARGE(Strategi!$K$5:$K$134,99)),99,""),"")</f>
        <v/>
      </c>
      <c r="B104" s="83" t="str">
        <f t="array" ref="B104">IFERROR(INDEX(Strategi!$C$5:$C$134,MATCH(LARGE(Strategi!$K$5:$K$134,99),Strategi!$K$5:$K$134,0)),"")</f>
        <v/>
      </c>
      <c r="C104" s="64" t="str">
        <f t="array" ref="C104">IFERROR(INDEX(Strategi!$D$5:$D$134,MATCH(LARGE(Strategi!$K$5:$K$134,99),Strategi!$K$5:$K$134,0)),"")</f>
        <v/>
      </c>
      <c r="D104" s="83" t="str">
        <f t="array" ref="D104">IFERROR(IF(INDEX(Strategi!$G$5:$G$134,MATCH(LARGE(Strategi!$K$5:$K$134,99),Strategi!$K$5:$K$134,0))="","","("&amp;COUNTIFS($B$6:$B104,$B104,$C$6:$C104,$C104)&amp;") "&amp;INDEX(Strategi!$G$5:$G$134,MATCH(LARGE(Strategi!$K$5:$K$134,99),Strategi!$K$5:$K$134,0))),"")</f>
        <v/>
      </c>
      <c r="E104" s="64" t="str">
        <f t="array" ref="E104">IFERROR(INDEX(Strategi!$E$5:$E$134,MATCH(LARGE(Strategi!$K$5:$K$134,99),Strategi!$K$5:$K$134,0)),"")</f>
        <v/>
      </c>
      <c r="F104" s="64" t="str">
        <f t="shared" si="3"/>
        <v/>
      </c>
      <c r="G104" s="64" t="str">
        <f t="shared" si="4"/>
        <v/>
      </c>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t="str">
        <f t="array" ref="AF104">IFERROR(INDEX(Strategi!$H$5:$H$134,MATCH(LARGE(Strategi!$K$5:$K$134,99),Strategi!$K$5:$K$134,0)),"")</f>
        <v/>
      </c>
      <c r="AG104" s="3"/>
    </row>
    <row r="105" ht="24.0" customHeight="1">
      <c r="A105" s="64" t="str">
        <f>IFERROR(IF(ISNUMBER(LARGE(Strategi!$K$5:$K$134,100)),100,""),"")</f>
        <v/>
      </c>
      <c r="B105" s="83" t="str">
        <f t="array" ref="B105">IFERROR(INDEX(Strategi!$C$5:$C$134,MATCH(LARGE(Strategi!$K$5:$K$134,100),Strategi!$K$5:$K$134,0)),"")</f>
        <v/>
      </c>
      <c r="C105" s="64" t="str">
        <f t="array" ref="C105">IFERROR(INDEX(Strategi!$D$5:$D$134,MATCH(LARGE(Strategi!$K$5:$K$134,100),Strategi!$K$5:$K$134,0)),"")</f>
        <v/>
      </c>
      <c r="D105" s="83" t="str">
        <f t="array" ref="D105">IFERROR(IF(INDEX(Strategi!$G$5:$G$134,MATCH(LARGE(Strategi!$K$5:$K$134,100),Strategi!$K$5:$K$134,0))="","","("&amp;COUNTIFS($B$6:$B105,$B105,$C$6:$C105,$C105)&amp;") "&amp;INDEX(Strategi!$G$5:$G$134,MATCH(LARGE(Strategi!$K$5:$K$134,100),Strategi!$K$5:$K$134,0))),"")</f>
        <v/>
      </c>
      <c r="E105" s="64" t="str">
        <f t="array" ref="E105">IFERROR(INDEX(Strategi!$E$5:$E$134,MATCH(LARGE(Strategi!$K$5:$K$134,100),Strategi!$K$5:$K$134,0)),"")</f>
        <v/>
      </c>
      <c r="F105" s="64" t="str">
        <f t="shared" si="3"/>
        <v/>
      </c>
      <c r="G105" s="64" t="str">
        <f t="shared" si="4"/>
        <v/>
      </c>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t="str">
        <f t="array" ref="AF105">IFERROR(INDEX(Strategi!$H$5:$H$134,MATCH(LARGE(Strategi!$K$5:$K$134,100),Strategi!$K$5:$K$134,0)),"")</f>
        <v/>
      </c>
      <c r="AG105" s="3"/>
    </row>
    <row r="106" ht="24.0" customHeight="1">
      <c r="A106" s="64" t="str">
        <f>IFERROR(IF(ISNUMBER(LARGE(Strategi!$K$5:$K$134,101)),101,""),"")</f>
        <v/>
      </c>
      <c r="B106" s="83" t="str">
        <f t="array" ref="B106">IFERROR(INDEX(Strategi!$C$5:$C$134,MATCH(LARGE(Strategi!$K$5:$K$134,101),Strategi!$K$5:$K$134,0)),"")</f>
        <v/>
      </c>
      <c r="C106" s="64" t="str">
        <f t="array" ref="C106">IFERROR(INDEX(Strategi!$D$5:$D$134,MATCH(LARGE(Strategi!$K$5:$K$134,101),Strategi!$K$5:$K$134,0)),"")</f>
        <v/>
      </c>
      <c r="D106" s="83" t="str">
        <f t="array" ref="D106">IFERROR(IF(INDEX(Strategi!$G$5:$G$134,MATCH(LARGE(Strategi!$K$5:$K$134,101),Strategi!$K$5:$K$134,0))="","","("&amp;COUNTIFS($B$6:$B106,$B106,$C$6:$C106,$C106)&amp;") "&amp;INDEX(Strategi!$G$5:$G$134,MATCH(LARGE(Strategi!$K$5:$K$134,101),Strategi!$K$5:$K$134,0))),"")</f>
        <v/>
      </c>
      <c r="E106" s="64" t="str">
        <f t="array" ref="E106">IFERROR(INDEX(Strategi!$E$5:$E$134,MATCH(LARGE(Strategi!$K$5:$K$134,101),Strategi!$K$5:$K$134,0)),"")</f>
        <v/>
      </c>
      <c r="F106" s="64" t="str">
        <f t="shared" si="3"/>
        <v/>
      </c>
      <c r="G106" s="64" t="str">
        <f t="shared" si="4"/>
        <v/>
      </c>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t="str">
        <f t="array" ref="AF106">IFERROR(INDEX(Strategi!$H$5:$H$134,MATCH(LARGE(Strategi!$K$5:$K$134,101),Strategi!$K$5:$K$134,0)),"")</f>
        <v/>
      </c>
      <c r="AG106" s="3"/>
    </row>
    <row r="107" ht="24.0" customHeight="1">
      <c r="A107" s="64" t="str">
        <f>IFERROR(IF(ISNUMBER(LARGE(Strategi!$K$5:$K$134,102)),102,""),"")</f>
        <v/>
      </c>
      <c r="B107" s="83" t="str">
        <f t="array" ref="B107">IFERROR(INDEX(Strategi!$C$5:$C$134,MATCH(LARGE(Strategi!$K$5:$K$134,102),Strategi!$K$5:$K$134,0)),"")</f>
        <v/>
      </c>
      <c r="C107" s="64" t="str">
        <f t="array" ref="C107">IFERROR(INDEX(Strategi!$D$5:$D$134,MATCH(LARGE(Strategi!$K$5:$K$134,102),Strategi!$K$5:$K$134,0)),"")</f>
        <v/>
      </c>
      <c r="D107" s="83" t="str">
        <f t="array" ref="D107">IFERROR(IF(INDEX(Strategi!$G$5:$G$134,MATCH(LARGE(Strategi!$K$5:$K$134,102),Strategi!$K$5:$K$134,0))="","","("&amp;COUNTIFS($B$6:$B107,$B107,$C$6:$C107,$C107)&amp;") "&amp;INDEX(Strategi!$G$5:$G$134,MATCH(LARGE(Strategi!$K$5:$K$134,102),Strategi!$K$5:$K$134,0))),"")</f>
        <v/>
      </c>
      <c r="E107" s="64" t="str">
        <f t="array" ref="E107">IFERROR(INDEX(Strategi!$E$5:$E$134,MATCH(LARGE(Strategi!$K$5:$K$134,102),Strategi!$K$5:$K$134,0)),"")</f>
        <v/>
      </c>
      <c r="F107" s="64" t="str">
        <f t="shared" si="3"/>
        <v/>
      </c>
      <c r="G107" s="64" t="str">
        <f t="shared" si="4"/>
        <v/>
      </c>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t="str">
        <f t="array" ref="AF107">IFERROR(INDEX(Strategi!$H$5:$H$134,MATCH(LARGE(Strategi!$K$5:$K$134,102),Strategi!$K$5:$K$134,0)),"")</f>
        <v/>
      </c>
      <c r="AG107" s="3"/>
    </row>
    <row r="108" ht="24.0" customHeight="1">
      <c r="A108" s="64" t="str">
        <f>IFERROR(IF(ISNUMBER(LARGE(Strategi!$K$5:$K$134,103)),103,""),"")</f>
        <v/>
      </c>
      <c r="B108" s="83" t="str">
        <f t="array" ref="B108">IFERROR(INDEX(Strategi!$C$5:$C$134,MATCH(LARGE(Strategi!$K$5:$K$134,103),Strategi!$K$5:$K$134,0)),"")</f>
        <v/>
      </c>
      <c r="C108" s="64" t="str">
        <f t="array" ref="C108">IFERROR(INDEX(Strategi!$D$5:$D$134,MATCH(LARGE(Strategi!$K$5:$K$134,103),Strategi!$K$5:$K$134,0)),"")</f>
        <v/>
      </c>
      <c r="D108" s="83" t="str">
        <f t="array" ref="D108">IFERROR(IF(INDEX(Strategi!$G$5:$G$134,MATCH(LARGE(Strategi!$K$5:$K$134,103),Strategi!$K$5:$K$134,0))="","","("&amp;COUNTIFS($B$6:$B108,$B108,$C$6:$C108,$C108)&amp;") "&amp;INDEX(Strategi!$G$5:$G$134,MATCH(LARGE(Strategi!$K$5:$K$134,103),Strategi!$K$5:$K$134,0))),"")</f>
        <v/>
      </c>
      <c r="E108" s="64" t="str">
        <f t="array" ref="E108">IFERROR(INDEX(Strategi!$E$5:$E$134,MATCH(LARGE(Strategi!$K$5:$K$134,103),Strategi!$K$5:$K$134,0)),"")</f>
        <v/>
      </c>
      <c r="F108" s="64" t="str">
        <f t="shared" si="3"/>
        <v/>
      </c>
      <c r="G108" s="64" t="str">
        <f t="shared" si="4"/>
        <v/>
      </c>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t="str">
        <f t="array" ref="AF108">IFERROR(INDEX(Strategi!$H$5:$H$134,MATCH(LARGE(Strategi!$K$5:$K$134,103),Strategi!$K$5:$K$134,0)),"")</f>
        <v/>
      </c>
      <c r="AG108" s="3"/>
    </row>
    <row r="109" ht="24.0" customHeight="1">
      <c r="A109" s="64" t="str">
        <f>IFERROR(IF(ISNUMBER(LARGE(Strategi!$K$5:$K$134,104)),104,""),"")</f>
        <v/>
      </c>
      <c r="B109" s="83" t="str">
        <f t="array" ref="B109">IFERROR(INDEX(Strategi!$C$5:$C$134,MATCH(LARGE(Strategi!$K$5:$K$134,104),Strategi!$K$5:$K$134,0)),"")</f>
        <v/>
      </c>
      <c r="C109" s="64" t="str">
        <f t="array" ref="C109">IFERROR(INDEX(Strategi!$D$5:$D$134,MATCH(LARGE(Strategi!$K$5:$K$134,104),Strategi!$K$5:$K$134,0)),"")</f>
        <v/>
      </c>
      <c r="D109" s="83" t="str">
        <f t="array" ref="D109">IFERROR(IF(INDEX(Strategi!$G$5:$G$134,MATCH(LARGE(Strategi!$K$5:$K$134,104),Strategi!$K$5:$K$134,0))="","","("&amp;COUNTIFS($B$6:$B109,$B109,$C$6:$C109,$C109)&amp;") "&amp;INDEX(Strategi!$G$5:$G$134,MATCH(LARGE(Strategi!$K$5:$K$134,104),Strategi!$K$5:$K$134,0))),"")</f>
        <v/>
      </c>
      <c r="E109" s="64" t="str">
        <f t="array" ref="E109">IFERROR(INDEX(Strategi!$E$5:$E$134,MATCH(LARGE(Strategi!$K$5:$K$134,104),Strategi!$K$5:$K$134,0)),"")</f>
        <v/>
      </c>
      <c r="F109" s="64" t="str">
        <f t="shared" si="3"/>
        <v/>
      </c>
      <c r="G109" s="64" t="str">
        <f t="shared" si="4"/>
        <v/>
      </c>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t="str">
        <f t="array" ref="AF109">IFERROR(INDEX(Strategi!$H$5:$H$134,MATCH(LARGE(Strategi!$K$5:$K$134,104),Strategi!$K$5:$K$134,0)),"")</f>
        <v/>
      </c>
      <c r="AG109" s="3"/>
    </row>
    <row r="110" ht="24.0" customHeight="1">
      <c r="A110" s="64" t="str">
        <f>IFERROR(IF(ISNUMBER(LARGE(Strategi!$K$5:$K$134,105)),105,""),"")</f>
        <v/>
      </c>
      <c r="B110" s="83" t="str">
        <f t="array" ref="B110">IFERROR(INDEX(Strategi!$C$5:$C$134,MATCH(LARGE(Strategi!$K$5:$K$134,105),Strategi!$K$5:$K$134,0)),"")</f>
        <v/>
      </c>
      <c r="C110" s="64" t="str">
        <f t="array" ref="C110">IFERROR(INDEX(Strategi!$D$5:$D$134,MATCH(LARGE(Strategi!$K$5:$K$134,105),Strategi!$K$5:$K$134,0)),"")</f>
        <v/>
      </c>
      <c r="D110" s="83" t="str">
        <f t="array" ref="D110">IFERROR(IF(INDEX(Strategi!$G$5:$G$134,MATCH(LARGE(Strategi!$K$5:$K$134,105),Strategi!$K$5:$K$134,0))="","","("&amp;COUNTIFS($B$6:$B110,$B110,$C$6:$C110,$C110)&amp;") "&amp;INDEX(Strategi!$G$5:$G$134,MATCH(LARGE(Strategi!$K$5:$K$134,105),Strategi!$K$5:$K$134,0))),"")</f>
        <v/>
      </c>
      <c r="E110" s="64" t="str">
        <f t="array" ref="E110">IFERROR(INDEX(Strategi!$E$5:$E$134,MATCH(LARGE(Strategi!$K$5:$K$134,105),Strategi!$K$5:$K$134,0)),"")</f>
        <v/>
      </c>
      <c r="F110" s="64" t="str">
        <f t="shared" si="3"/>
        <v/>
      </c>
      <c r="G110" s="64" t="str">
        <f t="shared" si="4"/>
        <v/>
      </c>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t="str">
        <f t="array" ref="AF110">IFERROR(INDEX(Strategi!$H$5:$H$134,MATCH(LARGE(Strategi!$K$5:$K$134,105),Strategi!$K$5:$K$134,0)),"")</f>
        <v/>
      </c>
      <c r="AG110" s="3"/>
    </row>
    <row r="111" ht="24.0" customHeight="1">
      <c r="A111" s="64" t="str">
        <f>IFERROR(IF(ISNUMBER(LARGE(Strategi!$K$5:$K$134,106)),106,""),"")</f>
        <v/>
      </c>
      <c r="B111" s="83" t="str">
        <f t="array" ref="B111">IFERROR(INDEX(Strategi!$C$5:$C$134,MATCH(LARGE(Strategi!$K$5:$K$134,106),Strategi!$K$5:$K$134,0)),"")</f>
        <v/>
      </c>
      <c r="C111" s="64" t="str">
        <f t="array" ref="C111">IFERROR(INDEX(Strategi!$D$5:$D$134,MATCH(LARGE(Strategi!$K$5:$K$134,106),Strategi!$K$5:$K$134,0)),"")</f>
        <v/>
      </c>
      <c r="D111" s="83" t="str">
        <f t="array" ref="D111">IFERROR(IF(INDEX(Strategi!$G$5:$G$134,MATCH(LARGE(Strategi!$K$5:$K$134,106),Strategi!$K$5:$K$134,0))="","","("&amp;COUNTIFS($B$6:$B111,$B111,$C$6:$C111,$C111)&amp;") "&amp;INDEX(Strategi!$G$5:$G$134,MATCH(LARGE(Strategi!$K$5:$K$134,106),Strategi!$K$5:$K$134,0))),"")</f>
        <v/>
      </c>
      <c r="E111" s="64" t="str">
        <f t="array" ref="E111">IFERROR(INDEX(Strategi!$E$5:$E$134,MATCH(LARGE(Strategi!$K$5:$K$134,106),Strategi!$K$5:$K$134,0)),"")</f>
        <v/>
      </c>
      <c r="F111" s="64" t="str">
        <f t="shared" si="3"/>
        <v/>
      </c>
      <c r="G111" s="64" t="str">
        <f t="shared" si="4"/>
        <v/>
      </c>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t="str">
        <f t="array" ref="AF111">IFERROR(INDEX(Strategi!$H$5:$H$134,MATCH(LARGE(Strategi!$K$5:$K$134,106),Strategi!$K$5:$K$134,0)),"")</f>
        <v/>
      </c>
      <c r="AG111" s="3"/>
    </row>
    <row r="112" ht="24.0" customHeight="1">
      <c r="A112" s="64" t="str">
        <f>IFERROR(IF(ISNUMBER(LARGE(Strategi!$K$5:$K$134,107)),107,""),"")</f>
        <v/>
      </c>
      <c r="B112" s="83" t="str">
        <f t="array" ref="B112">IFERROR(INDEX(Strategi!$C$5:$C$134,MATCH(LARGE(Strategi!$K$5:$K$134,107),Strategi!$K$5:$K$134,0)),"")</f>
        <v/>
      </c>
      <c r="C112" s="64" t="str">
        <f t="array" ref="C112">IFERROR(INDEX(Strategi!$D$5:$D$134,MATCH(LARGE(Strategi!$K$5:$K$134,107),Strategi!$K$5:$K$134,0)),"")</f>
        <v/>
      </c>
      <c r="D112" s="83" t="str">
        <f t="array" ref="D112">IFERROR(IF(INDEX(Strategi!$G$5:$G$134,MATCH(LARGE(Strategi!$K$5:$K$134,107),Strategi!$K$5:$K$134,0))="","","("&amp;COUNTIFS($B$6:$B112,$B112,$C$6:$C112,$C112)&amp;") "&amp;INDEX(Strategi!$G$5:$G$134,MATCH(LARGE(Strategi!$K$5:$K$134,107),Strategi!$K$5:$K$134,0))),"")</f>
        <v/>
      </c>
      <c r="E112" s="64" t="str">
        <f t="array" ref="E112">IFERROR(INDEX(Strategi!$E$5:$E$134,MATCH(LARGE(Strategi!$K$5:$K$134,107),Strategi!$K$5:$K$134,0)),"")</f>
        <v/>
      </c>
      <c r="F112" s="64" t="str">
        <f t="shared" si="3"/>
        <v/>
      </c>
      <c r="G112" s="64" t="str">
        <f t="shared" si="4"/>
        <v/>
      </c>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t="str">
        <f t="array" ref="AF112">IFERROR(INDEX(Strategi!$H$5:$H$134,MATCH(LARGE(Strategi!$K$5:$K$134,107),Strategi!$K$5:$K$134,0)),"")</f>
        <v/>
      </c>
      <c r="AG112" s="3"/>
    </row>
    <row r="113" ht="24.0" customHeight="1">
      <c r="A113" s="64" t="str">
        <f>IFERROR(IF(ISNUMBER(LARGE(Strategi!$K$5:$K$134,108)),108,""),"")</f>
        <v/>
      </c>
      <c r="B113" s="83" t="str">
        <f t="array" ref="B113">IFERROR(INDEX(Strategi!$C$5:$C$134,MATCH(LARGE(Strategi!$K$5:$K$134,108),Strategi!$K$5:$K$134,0)),"")</f>
        <v/>
      </c>
      <c r="C113" s="64" t="str">
        <f t="array" ref="C113">IFERROR(INDEX(Strategi!$D$5:$D$134,MATCH(LARGE(Strategi!$K$5:$K$134,108),Strategi!$K$5:$K$134,0)),"")</f>
        <v/>
      </c>
      <c r="D113" s="83" t="str">
        <f t="array" ref="D113">IFERROR(IF(INDEX(Strategi!$G$5:$G$134,MATCH(LARGE(Strategi!$K$5:$K$134,108),Strategi!$K$5:$K$134,0))="","","("&amp;COUNTIFS($B$6:$B113,$B113,$C$6:$C113,$C113)&amp;") "&amp;INDEX(Strategi!$G$5:$G$134,MATCH(LARGE(Strategi!$K$5:$K$134,108),Strategi!$K$5:$K$134,0))),"")</f>
        <v/>
      </c>
      <c r="E113" s="64" t="str">
        <f t="array" ref="E113">IFERROR(INDEX(Strategi!$E$5:$E$134,MATCH(LARGE(Strategi!$K$5:$K$134,108),Strategi!$K$5:$K$134,0)),"")</f>
        <v/>
      </c>
      <c r="F113" s="64" t="str">
        <f t="shared" si="3"/>
        <v/>
      </c>
      <c r="G113" s="64" t="str">
        <f t="shared" si="4"/>
        <v/>
      </c>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t="str">
        <f t="array" ref="AF113">IFERROR(INDEX(Strategi!$H$5:$H$134,MATCH(LARGE(Strategi!$K$5:$K$134,108),Strategi!$K$5:$K$134,0)),"")</f>
        <v/>
      </c>
      <c r="AG113" s="3"/>
    </row>
    <row r="114" ht="24.0" customHeight="1">
      <c r="A114" s="64" t="str">
        <f>IFERROR(IF(ISNUMBER(LARGE(Strategi!$K$5:$K$134,109)),109,""),"")</f>
        <v/>
      </c>
      <c r="B114" s="83" t="str">
        <f t="array" ref="B114">IFERROR(INDEX(Strategi!$C$5:$C$134,MATCH(LARGE(Strategi!$K$5:$K$134,109),Strategi!$K$5:$K$134,0)),"")</f>
        <v/>
      </c>
      <c r="C114" s="64" t="str">
        <f t="array" ref="C114">IFERROR(INDEX(Strategi!$D$5:$D$134,MATCH(LARGE(Strategi!$K$5:$K$134,109),Strategi!$K$5:$K$134,0)),"")</f>
        <v/>
      </c>
      <c r="D114" s="83" t="str">
        <f t="array" ref="D114">IFERROR(IF(INDEX(Strategi!$G$5:$G$134,MATCH(LARGE(Strategi!$K$5:$K$134,109),Strategi!$K$5:$K$134,0))="","","("&amp;COUNTIFS($B$6:$B114,$B114,$C$6:$C114,$C114)&amp;") "&amp;INDEX(Strategi!$G$5:$G$134,MATCH(LARGE(Strategi!$K$5:$K$134,109),Strategi!$K$5:$K$134,0))),"")</f>
        <v/>
      </c>
      <c r="E114" s="64" t="str">
        <f t="array" ref="E114">IFERROR(INDEX(Strategi!$E$5:$E$134,MATCH(LARGE(Strategi!$K$5:$K$134,109),Strategi!$K$5:$K$134,0)),"")</f>
        <v/>
      </c>
      <c r="F114" s="64" t="str">
        <f t="shared" si="3"/>
        <v/>
      </c>
      <c r="G114" s="64" t="str">
        <f t="shared" si="4"/>
        <v/>
      </c>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t="str">
        <f t="array" ref="AF114">IFERROR(INDEX(Strategi!$H$5:$H$134,MATCH(LARGE(Strategi!$K$5:$K$134,109),Strategi!$K$5:$K$134,0)),"")</f>
        <v/>
      </c>
      <c r="AG114" s="3"/>
    </row>
    <row r="115" ht="24.0" customHeight="1">
      <c r="A115" s="64" t="str">
        <f>IFERROR(IF(ISNUMBER(LARGE(Strategi!$K$5:$K$134,110)),110,""),"")</f>
        <v/>
      </c>
      <c r="B115" s="83" t="str">
        <f t="array" ref="B115">IFERROR(INDEX(Strategi!$C$5:$C$134,MATCH(LARGE(Strategi!$K$5:$K$134,110),Strategi!$K$5:$K$134,0)),"")</f>
        <v/>
      </c>
      <c r="C115" s="64" t="str">
        <f t="array" ref="C115">IFERROR(INDEX(Strategi!$D$5:$D$134,MATCH(LARGE(Strategi!$K$5:$K$134,110),Strategi!$K$5:$K$134,0)),"")</f>
        <v/>
      </c>
      <c r="D115" s="83" t="str">
        <f t="array" ref="D115">IFERROR(IF(INDEX(Strategi!$G$5:$G$134,MATCH(LARGE(Strategi!$K$5:$K$134,110),Strategi!$K$5:$K$134,0))="","","("&amp;COUNTIFS($B$6:$B115,$B115,$C$6:$C115,$C115)&amp;") "&amp;INDEX(Strategi!$G$5:$G$134,MATCH(LARGE(Strategi!$K$5:$K$134,110),Strategi!$K$5:$K$134,0))),"")</f>
        <v/>
      </c>
      <c r="E115" s="64" t="str">
        <f t="array" ref="E115">IFERROR(INDEX(Strategi!$E$5:$E$134,MATCH(LARGE(Strategi!$K$5:$K$134,110),Strategi!$K$5:$K$134,0)),"")</f>
        <v/>
      </c>
      <c r="F115" s="64" t="str">
        <f t="shared" si="3"/>
        <v/>
      </c>
      <c r="G115" s="64" t="str">
        <f t="shared" si="4"/>
        <v/>
      </c>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t="str">
        <f t="array" ref="AF115">IFERROR(INDEX(Strategi!$H$5:$H$134,MATCH(LARGE(Strategi!$K$5:$K$134,110),Strategi!$K$5:$K$134,0)),"")</f>
        <v/>
      </c>
      <c r="AG115" s="3"/>
    </row>
    <row r="116" ht="24.0" customHeight="1">
      <c r="A116" s="64" t="str">
        <f>IFERROR(IF(ISNUMBER(LARGE(Strategi!$K$5:$K$134,111)),111,""),"")</f>
        <v/>
      </c>
      <c r="B116" s="83" t="str">
        <f t="array" ref="B116">IFERROR(INDEX(Strategi!$C$5:$C$134,MATCH(LARGE(Strategi!$K$5:$K$134,111),Strategi!$K$5:$K$134,0)),"")</f>
        <v/>
      </c>
      <c r="C116" s="64" t="str">
        <f t="array" ref="C116">IFERROR(INDEX(Strategi!$D$5:$D$134,MATCH(LARGE(Strategi!$K$5:$K$134,111),Strategi!$K$5:$K$134,0)),"")</f>
        <v/>
      </c>
      <c r="D116" s="83" t="str">
        <f t="array" ref="D116">IFERROR(IF(INDEX(Strategi!$G$5:$G$134,MATCH(LARGE(Strategi!$K$5:$K$134,111),Strategi!$K$5:$K$134,0))="","","("&amp;COUNTIFS($B$6:$B116,$B116,$C$6:$C116,$C116)&amp;") "&amp;INDEX(Strategi!$G$5:$G$134,MATCH(LARGE(Strategi!$K$5:$K$134,111),Strategi!$K$5:$K$134,0))),"")</f>
        <v/>
      </c>
      <c r="E116" s="64" t="str">
        <f t="array" ref="E116">IFERROR(INDEX(Strategi!$E$5:$E$134,MATCH(LARGE(Strategi!$K$5:$K$134,111),Strategi!$K$5:$K$134,0)),"")</f>
        <v/>
      </c>
      <c r="F116" s="64" t="str">
        <f t="shared" si="3"/>
        <v/>
      </c>
      <c r="G116" s="64" t="str">
        <f t="shared" si="4"/>
        <v/>
      </c>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t="str">
        <f t="array" ref="AF116">IFERROR(INDEX(Strategi!$H$5:$H$134,MATCH(LARGE(Strategi!$K$5:$K$134,111),Strategi!$K$5:$K$134,0)),"")</f>
        <v/>
      </c>
      <c r="AG116" s="3"/>
    </row>
    <row r="117" ht="24.0" customHeight="1">
      <c r="A117" s="64" t="str">
        <f>IFERROR(IF(ISNUMBER(LARGE(Strategi!$K$5:$K$134,112)),112,""),"")</f>
        <v/>
      </c>
      <c r="B117" s="83" t="str">
        <f t="array" ref="B117">IFERROR(INDEX(Strategi!$C$5:$C$134,MATCH(LARGE(Strategi!$K$5:$K$134,112),Strategi!$K$5:$K$134,0)),"")</f>
        <v/>
      </c>
      <c r="C117" s="64" t="str">
        <f t="array" ref="C117">IFERROR(INDEX(Strategi!$D$5:$D$134,MATCH(LARGE(Strategi!$K$5:$K$134,112),Strategi!$K$5:$K$134,0)),"")</f>
        <v/>
      </c>
      <c r="D117" s="83" t="str">
        <f t="array" ref="D117">IFERROR(IF(INDEX(Strategi!$G$5:$G$134,MATCH(LARGE(Strategi!$K$5:$K$134,112),Strategi!$K$5:$K$134,0))="","","("&amp;COUNTIFS($B$6:$B117,$B117,$C$6:$C117,$C117)&amp;") "&amp;INDEX(Strategi!$G$5:$G$134,MATCH(LARGE(Strategi!$K$5:$K$134,112),Strategi!$K$5:$K$134,0))),"")</f>
        <v/>
      </c>
      <c r="E117" s="64" t="str">
        <f t="array" ref="E117">IFERROR(INDEX(Strategi!$E$5:$E$134,MATCH(LARGE(Strategi!$K$5:$K$134,112),Strategi!$K$5:$K$134,0)),"")</f>
        <v/>
      </c>
      <c r="F117" s="64" t="str">
        <f t="shared" si="3"/>
        <v/>
      </c>
      <c r="G117" s="64" t="str">
        <f t="shared" si="4"/>
        <v/>
      </c>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t="str">
        <f t="array" ref="AF117">IFERROR(INDEX(Strategi!$H$5:$H$134,MATCH(LARGE(Strategi!$K$5:$K$134,112),Strategi!$K$5:$K$134,0)),"")</f>
        <v/>
      </c>
      <c r="AG117" s="3"/>
    </row>
    <row r="118" ht="24.0" customHeight="1">
      <c r="A118" s="64" t="str">
        <f>IFERROR(IF(ISNUMBER(LARGE(Strategi!$K$5:$K$134,113)),113,""),"")</f>
        <v/>
      </c>
      <c r="B118" s="83" t="str">
        <f t="array" ref="B118">IFERROR(INDEX(Strategi!$C$5:$C$134,MATCH(LARGE(Strategi!$K$5:$K$134,113),Strategi!$K$5:$K$134,0)),"")</f>
        <v/>
      </c>
      <c r="C118" s="64" t="str">
        <f t="array" ref="C118">IFERROR(INDEX(Strategi!$D$5:$D$134,MATCH(LARGE(Strategi!$K$5:$K$134,113),Strategi!$K$5:$K$134,0)),"")</f>
        <v/>
      </c>
      <c r="D118" s="83" t="str">
        <f t="array" ref="D118">IFERROR(IF(INDEX(Strategi!$G$5:$G$134,MATCH(LARGE(Strategi!$K$5:$K$134,113),Strategi!$K$5:$K$134,0))="","","("&amp;COUNTIFS($B$6:$B118,$B118,$C$6:$C118,$C118)&amp;") "&amp;INDEX(Strategi!$G$5:$G$134,MATCH(LARGE(Strategi!$K$5:$K$134,113),Strategi!$K$5:$K$134,0))),"")</f>
        <v/>
      </c>
      <c r="E118" s="64" t="str">
        <f t="array" ref="E118">IFERROR(INDEX(Strategi!$E$5:$E$134,MATCH(LARGE(Strategi!$K$5:$K$134,113),Strategi!$K$5:$K$134,0)),"")</f>
        <v/>
      </c>
      <c r="F118" s="64" t="str">
        <f t="shared" si="3"/>
        <v/>
      </c>
      <c r="G118" s="64" t="str">
        <f t="shared" si="4"/>
        <v/>
      </c>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t="str">
        <f t="array" ref="AF118">IFERROR(INDEX(Strategi!$H$5:$H$134,MATCH(LARGE(Strategi!$K$5:$K$134,113),Strategi!$K$5:$K$134,0)),"")</f>
        <v/>
      </c>
      <c r="AG118" s="3"/>
    </row>
    <row r="119" ht="24.0" customHeight="1">
      <c r="A119" s="64" t="str">
        <f>IFERROR(IF(ISNUMBER(LARGE(Strategi!$K$5:$K$134,114)),114,""),"")</f>
        <v/>
      </c>
      <c r="B119" s="83" t="str">
        <f t="array" ref="B119">IFERROR(INDEX(Strategi!$C$5:$C$134,MATCH(LARGE(Strategi!$K$5:$K$134,114),Strategi!$K$5:$K$134,0)),"")</f>
        <v/>
      </c>
      <c r="C119" s="64" t="str">
        <f t="array" ref="C119">IFERROR(INDEX(Strategi!$D$5:$D$134,MATCH(LARGE(Strategi!$K$5:$K$134,114),Strategi!$K$5:$K$134,0)),"")</f>
        <v/>
      </c>
      <c r="D119" s="83" t="str">
        <f t="array" ref="D119">IFERROR(IF(INDEX(Strategi!$G$5:$G$134,MATCH(LARGE(Strategi!$K$5:$K$134,114),Strategi!$K$5:$K$134,0))="","","("&amp;COUNTIFS($B$6:$B119,$B119,$C$6:$C119,$C119)&amp;") "&amp;INDEX(Strategi!$G$5:$G$134,MATCH(LARGE(Strategi!$K$5:$K$134,114),Strategi!$K$5:$K$134,0))),"")</f>
        <v/>
      </c>
      <c r="E119" s="64" t="str">
        <f t="array" ref="E119">IFERROR(INDEX(Strategi!$E$5:$E$134,MATCH(LARGE(Strategi!$K$5:$K$134,114),Strategi!$K$5:$K$134,0)),"")</f>
        <v/>
      </c>
      <c r="F119" s="64" t="str">
        <f t="shared" si="3"/>
        <v/>
      </c>
      <c r="G119" s="64" t="str">
        <f t="shared" si="4"/>
        <v/>
      </c>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t="str">
        <f t="array" ref="AF119">IFERROR(INDEX(Strategi!$H$5:$H$134,MATCH(LARGE(Strategi!$K$5:$K$134,114),Strategi!$K$5:$K$134,0)),"")</f>
        <v/>
      </c>
      <c r="AG119" s="3"/>
    </row>
    <row r="120" ht="24.0" customHeight="1">
      <c r="A120" s="64" t="str">
        <f>IFERROR(IF(ISNUMBER(LARGE(Strategi!$K$5:$K$134,115)),115,""),"")</f>
        <v/>
      </c>
      <c r="B120" s="83" t="str">
        <f t="array" ref="B120">IFERROR(INDEX(Strategi!$C$5:$C$134,MATCH(LARGE(Strategi!$K$5:$K$134,115),Strategi!$K$5:$K$134,0)),"")</f>
        <v/>
      </c>
      <c r="C120" s="64" t="str">
        <f t="array" ref="C120">IFERROR(INDEX(Strategi!$D$5:$D$134,MATCH(LARGE(Strategi!$K$5:$K$134,115),Strategi!$K$5:$K$134,0)),"")</f>
        <v/>
      </c>
      <c r="D120" s="83" t="str">
        <f t="array" ref="D120">IFERROR(IF(INDEX(Strategi!$G$5:$G$134,MATCH(LARGE(Strategi!$K$5:$K$134,115),Strategi!$K$5:$K$134,0))="","","("&amp;COUNTIFS($B$6:$B120,$B120,$C$6:$C120,$C120)&amp;") "&amp;INDEX(Strategi!$G$5:$G$134,MATCH(LARGE(Strategi!$K$5:$K$134,115),Strategi!$K$5:$K$134,0))),"")</f>
        <v/>
      </c>
      <c r="E120" s="64" t="str">
        <f t="array" ref="E120">IFERROR(INDEX(Strategi!$E$5:$E$134,MATCH(LARGE(Strategi!$K$5:$K$134,115),Strategi!$K$5:$K$134,0)),"")</f>
        <v/>
      </c>
      <c r="F120" s="64" t="str">
        <f t="shared" si="3"/>
        <v/>
      </c>
      <c r="G120" s="64" t="str">
        <f t="shared" si="4"/>
        <v/>
      </c>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t="str">
        <f t="array" ref="AF120">IFERROR(INDEX(Strategi!$H$5:$H$134,MATCH(LARGE(Strategi!$K$5:$K$134,115),Strategi!$K$5:$K$134,0)),"")</f>
        <v/>
      </c>
      <c r="AG120" s="3"/>
    </row>
    <row r="121" ht="24.0" customHeight="1">
      <c r="A121" s="64" t="str">
        <f>IFERROR(IF(ISNUMBER(LARGE(Strategi!$K$5:$K$134,116)),116,""),"")</f>
        <v/>
      </c>
      <c r="B121" s="83" t="str">
        <f t="array" ref="B121">IFERROR(INDEX(Strategi!$C$5:$C$134,MATCH(LARGE(Strategi!$K$5:$K$134,116),Strategi!$K$5:$K$134,0)),"")</f>
        <v/>
      </c>
      <c r="C121" s="64" t="str">
        <f t="array" ref="C121">IFERROR(INDEX(Strategi!$D$5:$D$134,MATCH(LARGE(Strategi!$K$5:$K$134,116),Strategi!$K$5:$K$134,0)),"")</f>
        <v/>
      </c>
      <c r="D121" s="83" t="str">
        <f t="array" ref="D121">IFERROR(IF(INDEX(Strategi!$G$5:$G$134,MATCH(LARGE(Strategi!$K$5:$K$134,116),Strategi!$K$5:$K$134,0))="","","("&amp;COUNTIFS($B$6:$B121,$B121,$C$6:$C121,$C121)&amp;") "&amp;INDEX(Strategi!$G$5:$G$134,MATCH(LARGE(Strategi!$K$5:$K$134,116),Strategi!$K$5:$K$134,0))),"")</f>
        <v/>
      </c>
      <c r="E121" s="64" t="str">
        <f t="array" ref="E121">IFERROR(INDEX(Strategi!$E$5:$E$134,MATCH(LARGE(Strategi!$K$5:$K$134,116),Strategi!$K$5:$K$134,0)),"")</f>
        <v/>
      </c>
      <c r="F121" s="64" t="str">
        <f t="shared" si="3"/>
        <v/>
      </c>
      <c r="G121" s="64" t="str">
        <f t="shared" si="4"/>
        <v/>
      </c>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t="str">
        <f t="array" ref="AF121">IFERROR(INDEX(Strategi!$H$5:$H$134,MATCH(LARGE(Strategi!$K$5:$K$134,116),Strategi!$K$5:$K$134,0)),"")</f>
        <v/>
      </c>
      <c r="AG121" s="3"/>
    </row>
    <row r="122" ht="24.0" customHeight="1">
      <c r="A122" s="64" t="str">
        <f>IFERROR(IF(ISNUMBER(LARGE(Strategi!$K$5:$K$134,117)),117,""),"")</f>
        <v/>
      </c>
      <c r="B122" s="83" t="str">
        <f t="array" ref="B122">IFERROR(INDEX(Strategi!$C$5:$C$134,MATCH(LARGE(Strategi!$K$5:$K$134,117),Strategi!$K$5:$K$134,0)),"")</f>
        <v/>
      </c>
      <c r="C122" s="64" t="str">
        <f t="array" ref="C122">IFERROR(INDEX(Strategi!$D$5:$D$134,MATCH(LARGE(Strategi!$K$5:$K$134,117),Strategi!$K$5:$K$134,0)),"")</f>
        <v/>
      </c>
      <c r="D122" s="83" t="str">
        <f t="array" ref="D122">IFERROR(IF(INDEX(Strategi!$G$5:$G$134,MATCH(LARGE(Strategi!$K$5:$K$134,117),Strategi!$K$5:$K$134,0))="","","("&amp;COUNTIFS($B$6:$B122,$B122,$C$6:$C122,$C122)&amp;") "&amp;INDEX(Strategi!$G$5:$G$134,MATCH(LARGE(Strategi!$K$5:$K$134,117),Strategi!$K$5:$K$134,0))),"")</f>
        <v/>
      </c>
      <c r="E122" s="64" t="str">
        <f t="array" ref="E122">IFERROR(INDEX(Strategi!$E$5:$E$134,MATCH(LARGE(Strategi!$K$5:$K$134,117),Strategi!$K$5:$K$134,0)),"")</f>
        <v/>
      </c>
      <c r="F122" s="64" t="str">
        <f t="shared" si="3"/>
        <v/>
      </c>
      <c r="G122" s="64" t="str">
        <f t="shared" si="4"/>
        <v/>
      </c>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t="str">
        <f t="array" ref="AF122">IFERROR(INDEX(Strategi!$H$5:$H$134,MATCH(LARGE(Strategi!$K$5:$K$134,117),Strategi!$K$5:$K$134,0)),"")</f>
        <v/>
      </c>
      <c r="AG122" s="3"/>
    </row>
    <row r="123" ht="24.0" customHeight="1">
      <c r="A123" s="64" t="str">
        <f>IFERROR(IF(ISNUMBER(LARGE(Strategi!$K$5:$K$134,118)),118,""),"")</f>
        <v/>
      </c>
      <c r="B123" s="83" t="str">
        <f t="array" ref="B123">IFERROR(INDEX(Strategi!$C$5:$C$134,MATCH(LARGE(Strategi!$K$5:$K$134,118),Strategi!$K$5:$K$134,0)),"")</f>
        <v/>
      </c>
      <c r="C123" s="64" t="str">
        <f t="array" ref="C123">IFERROR(INDEX(Strategi!$D$5:$D$134,MATCH(LARGE(Strategi!$K$5:$K$134,118),Strategi!$K$5:$K$134,0)),"")</f>
        <v/>
      </c>
      <c r="D123" s="83" t="str">
        <f t="array" ref="D123">IFERROR(IF(INDEX(Strategi!$G$5:$G$134,MATCH(LARGE(Strategi!$K$5:$K$134,118),Strategi!$K$5:$K$134,0))="","","("&amp;COUNTIFS($B$6:$B123,$B123,$C$6:$C123,$C123)&amp;") "&amp;INDEX(Strategi!$G$5:$G$134,MATCH(LARGE(Strategi!$K$5:$K$134,118),Strategi!$K$5:$K$134,0))),"")</f>
        <v/>
      </c>
      <c r="E123" s="64" t="str">
        <f t="array" ref="E123">IFERROR(INDEX(Strategi!$E$5:$E$134,MATCH(LARGE(Strategi!$K$5:$K$134,118),Strategi!$K$5:$K$134,0)),"")</f>
        <v/>
      </c>
      <c r="F123" s="64" t="str">
        <f t="shared" si="3"/>
        <v/>
      </c>
      <c r="G123" s="64" t="str">
        <f t="shared" si="4"/>
        <v/>
      </c>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t="str">
        <f t="array" ref="AF123">IFERROR(INDEX(Strategi!$H$5:$H$134,MATCH(LARGE(Strategi!$K$5:$K$134,118),Strategi!$K$5:$K$134,0)),"")</f>
        <v/>
      </c>
      <c r="AG123" s="3"/>
    </row>
    <row r="124" ht="24.0" customHeight="1">
      <c r="A124" s="64" t="str">
        <f>IFERROR(IF(ISNUMBER(LARGE(Strategi!$K$5:$K$134,119)),119,""),"")</f>
        <v/>
      </c>
      <c r="B124" s="83" t="str">
        <f t="array" ref="B124">IFERROR(INDEX(Strategi!$C$5:$C$134,MATCH(LARGE(Strategi!$K$5:$K$134,119),Strategi!$K$5:$K$134,0)),"")</f>
        <v/>
      </c>
      <c r="C124" s="64" t="str">
        <f t="array" ref="C124">IFERROR(INDEX(Strategi!$D$5:$D$134,MATCH(LARGE(Strategi!$K$5:$K$134,119),Strategi!$K$5:$K$134,0)),"")</f>
        <v/>
      </c>
      <c r="D124" s="83" t="str">
        <f t="array" ref="D124">IFERROR(IF(INDEX(Strategi!$G$5:$G$134,MATCH(LARGE(Strategi!$K$5:$K$134,119),Strategi!$K$5:$K$134,0))="","","("&amp;COUNTIFS($B$6:$B124,$B124,$C$6:$C124,$C124)&amp;") "&amp;INDEX(Strategi!$G$5:$G$134,MATCH(LARGE(Strategi!$K$5:$K$134,119),Strategi!$K$5:$K$134,0))),"")</f>
        <v/>
      </c>
      <c r="E124" s="64" t="str">
        <f t="array" ref="E124">IFERROR(INDEX(Strategi!$E$5:$E$134,MATCH(LARGE(Strategi!$K$5:$K$134,119),Strategi!$K$5:$K$134,0)),"")</f>
        <v/>
      </c>
      <c r="F124" s="64" t="str">
        <f t="shared" si="3"/>
        <v/>
      </c>
      <c r="G124" s="64" t="str">
        <f t="shared" si="4"/>
        <v/>
      </c>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t="str">
        <f t="array" ref="AF124">IFERROR(INDEX(Strategi!$H$5:$H$134,MATCH(LARGE(Strategi!$K$5:$K$134,119),Strategi!$K$5:$K$134,0)),"")</f>
        <v/>
      </c>
      <c r="AG124" s="3"/>
    </row>
    <row r="125" ht="24.0" customHeight="1">
      <c r="A125" s="64" t="str">
        <f>IFERROR(IF(ISNUMBER(LARGE(Strategi!$K$5:$K$134,120)),120,""),"")</f>
        <v/>
      </c>
      <c r="B125" s="83" t="str">
        <f t="array" ref="B125">IFERROR(INDEX(Strategi!$C$5:$C$134,MATCH(LARGE(Strategi!$K$5:$K$134,120),Strategi!$K$5:$K$134,0)),"")</f>
        <v/>
      </c>
      <c r="C125" s="64" t="str">
        <f t="array" ref="C125">IFERROR(INDEX(Strategi!$D$5:$D$134,MATCH(LARGE(Strategi!$K$5:$K$134,120),Strategi!$K$5:$K$134,0)),"")</f>
        <v/>
      </c>
      <c r="D125" s="83" t="str">
        <f t="array" ref="D125">IFERROR(IF(INDEX(Strategi!$G$5:$G$134,MATCH(LARGE(Strategi!$K$5:$K$134,120),Strategi!$K$5:$K$134,0))="","","("&amp;COUNTIFS($B$6:$B125,$B125,$C$6:$C125,$C125)&amp;") "&amp;INDEX(Strategi!$G$5:$G$134,MATCH(LARGE(Strategi!$K$5:$K$134,120),Strategi!$K$5:$K$134,0))),"")</f>
        <v/>
      </c>
      <c r="E125" s="64" t="str">
        <f t="array" ref="E125">IFERROR(INDEX(Strategi!$E$5:$E$134,MATCH(LARGE(Strategi!$K$5:$K$134,120),Strategi!$K$5:$K$134,0)),"")</f>
        <v/>
      </c>
      <c r="F125" s="64" t="str">
        <f t="shared" si="3"/>
        <v/>
      </c>
      <c r="G125" s="64" t="str">
        <f t="shared" si="4"/>
        <v/>
      </c>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t="str">
        <f t="array" ref="AF125">IFERROR(INDEX(Strategi!$H$5:$H$134,MATCH(LARGE(Strategi!$K$5:$K$134,120),Strategi!$K$5:$K$134,0)),"")</f>
        <v/>
      </c>
      <c r="AG125" s="3"/>
    </row>
    <row r="126" ht="24.0" customHeight="1">
      <c r="A126" s="64" t="str">
        <f>IFERROR(IF(ISNUMBER(LARGE(Strategi!$K$5:$K$134,121)),121,""),"")</f>
        <v/>
      </c>
      <c r="B126" s="83" t="str">
        <f t="array" ref="B126">IFERROR(INDEX(Strategi!$C$5:$C$134,MATCH(LARGE(Strategi!$K$5:$K$134,121),Strategi!$K$5:$K$134,0)),"")</f>
        <v/>
      </c>
      <c r="C126" s="64" t="str">
        <f t="array" ref="C126">IFERROR(INDEX(Strategi!$D$5:$D$134,MATCH(LARGE(Strategi!$K$5:$K$134,121),Strategi!$K$5:$K$134,0)),"")</f>
        <v/>
      </c>
      <c r="D126" s="83" t="str">
        <f t="array" ref="D126">IFERROR(IF(INDEX(Strategi!$G$5:$G$134,MATCH(LARGE(Strategi!$K$5:$K$134,121),Strategi!$K$5:$K$134,0))="","","("&amp;COUNTIFS($B$6:$B126,$B126,$C$6:$C126,$C126)&amp;") "&amp;INDEX(Strategi!$G$5:$G$134,MATCH(LARGE(Strategi!$K$5:$K$134,121),Strategi!$K$5:$K$134,0))),"")</f>
        <v/>
      </c>
      <c r="E126" s="64" t="str">
        <f t="array" ref="E126">IFERROR(INDEX(Strategi!$E$5:$E$134,MATCH(LARGE(Strategi!$K$5:$K$134,121),Strategi!$K$5:$K$134,0)),"")</f>
        <v/>
      </c>
      <c r="F126" s="64" t="str">
        <f t="shared" si="3"/>
        <v/>
      </c>
      <c r="G126" s="64" t="str">
        <f t="shared" si="4"/>
        <v/>
      </c>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t="str">
        <f t="array" ref="AF126">IFERROR(INDEX(Strategi!$H$5:$H$134,MATCH(LARGE(Strategi!$K$5:$K$134,121),Strategi!$K$5:$K$134,0)),"")</f>
        <v/>
      </c>
      <c r="AG126" s="3"/>
    </row>
    <row r="127" ht="24.0" customHeight="1">
      <c r="A127" s="64" t="str">
        <f>IFERROR(IF(ISNUMBER(LARGE(Strategi!$K$5:$K$134,122)),122,""),"")</f>
        <v/>
      </c>
      <c r="B127" s="83" t="str">
        <f t="array" ref="B127">IFERROR(INDEX(Strategi!$C$5:$C$134,MATCH(LARGE(Strategi!$K$5:$K$134,122),Strategi!$K$5:$K$134,0)),"")</f>
        <v/>
      </c>
      <c r="C127" s="64" t="str">
        <f t="array" ref="C127">IFERROR(INDEX(Strategi!$D$5:$D$134,MATCH(LARGE(Strategi!$K$5:$K$134,122),Strategi!$K$5:$K$134,0)),"")</f>
        <v/>
      </c>
      <c r="D127" s="83" t="str">
        <f t="array" ref="D127">IFERROR(IF(INDEX(Strategi!$G$5:$G$134,MATCH(LARGE(Strategi!$K$5:$K$134,122),Strategi!$K$5:$K$134,0))="","","("&amp;COUNTIFS($B$6:$B127,$B127,$C$6:$C127,$C127)&amp;") "&amp;INDEX(Strategi!$G$5:$G$134,MATCH(LARGE(Strategi!$K$5:$K$134,122),Strategi!$K$5:$K$134,0))),"")</f>
        <v/>
      </c>
      <c r="E127" s="64" t="str">
        <f t="array" ref="E127">IFERROR(INDEX(Strategi!$E$5:$E$134,MATCH(LARGE(Strategi!$K$5:$K$134,122),Strategi!$K$5:$K$134,0)),"")</f>
        <v/>
      </c>
      <c r="F127" s="64" t="str">
        <f t="shared" si="3"/>
        <v/>
      </c>
      <c r="G127" s="64" t="str">
        <f t="shared" si="4"/>
        <v/>
      </c>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t="str">
        <f t="array" ref="AF127">IFERROR(INDEX(Strategi!$H$5:$H$134,MATCH(LARGE(Strategi!$K$5:$K$134,122),Strategi!$K$5:$K$134,0)),"")</f>
        <v/>
      </c>
      <c r="AG127" s="3"/>
    </row>
    <row r="128" ht="24.0" customHeight="1">
      <c r="A128" s="64" t="str">
        <f>IFERROR(IF(ISNUMBER(LARGE(Strategi!$K$5:$K$134,123)),123,""),"")</f>
        <v/>
      </c>
      <c r="B128" s="83" t="str">
        <f t="array" ref="B128">IFERROR(INDEX(Strategi!$C$5:$C$134,MATCH(LARGE(Strategi!$K$5:$K$134,123),Strategi!$K$5:$K$134,0)),"")</f>
        <v/>
      </c>
      <c r="C128" s="64" t="str">
        <f t="array" ref="C128">IFERROR(INDEX(Strategi!$D$5:$D$134,MATCH(LARGE(Strategi!$K$5:$K$134,123),Strategi!$K$5:$K$134,0)),"")</f>
        <v/>
      </c>
      <c r="D128" s="83" t="str">
        <f t="array" ref="D128">IFERROR(IF(INDEX(Strategi!$G$5:$G$134,MATCH(LARGE(Strategi!$K$5:$K$134,123),Strategi!$K$5:$K$134,0))="","","("&amp;COUNTIFS($B$6:$B128,$B128,$C$6:$C128,$C128)&amp;") "&amp;INDEX(Strategi!$G$5:$G$134,MATCH(LARGE(Strategi!$K$5:$K$134,123),Strategi!$K$5:$K$134,0))),"")</f>
        <v/>
      </c>
      <c r="E128" s="64" t="str">
        <f t="array" ref="E128">IFERROR(INDEX(Strategi!$E$5:$E$134,MATCH(LARGE(Strategi!$K$5:$K$134,123),Strategi!$K$5:$K$134,0)),"")</f>
        <v/>
      </c>
      <c r="F128" s="64" t="str">
        <f t="shared" si="3"/>
        <v/>
      </c>
      <c r="G128" s="64" t="str">
        <f t="shared" si="4"/>
        <v/>
      </c>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t="str">
        <f t="array" ref="AF128">IFERROR(INDEX(Strategi!$H$5:$H$134,MATCH(LARGE(Strategi!$K$5:$K$134,123),Strategi!$K$5:$K$134,0)),"")</f>
        <v/>
      </c>
      <c r="AG128" s="3"/>
    </row>
    <row r="129" ht="24.0" customHeight="1">
      <c r="A129" s="64" t="str">
        <f>IFERROR(IF(ISNUMBER(LARGE(Strategi!$K$5:$K$134,124)),124,""),"")</f>
        <v/>
      </c>
      <c r="B129" s="83" t="str">
        <f t="array" ref="B129">IFERROR(INDEX(Strategi!$C$5:$C$134,MATCH(LARGE(Strategi!$K$5:$K$134,124),Strategi!$K$5:$K$134,0)),"")</f>
        <v/>
      </c>
      <c r="C129" s="64" t="str">
        <f t="array" ref="C129">IFERROR(INDEX(Strategi!$D$5:$D$134,MATCH(LARGE(Strategi!$K$5:$K$134,124),Strategi!$K$5:$K$134,0)),"")</f>
        <v/>
      </c>
      <c r="D129" s="83" t="str">
        <f t="array" ref="D129">IFERROR(IF(INDEX(Strategi!$G$5:$G$134,MATCH(LARGE(Strategi!$K$5:$K$134,124),Strategi!$K$5:$K$134,0))="","","("&amp;COUNTIFS($B$6:$B129,$B129,$C$6:$C129,$C129)&amp;") "&amp;INDEX(Strategi!$G$5:$G$134,MATCH(LARGE(Strategi!$K$5:$K$134,124),Strategi!$K$5:$K$134,0))),"")</f>
        <v/>
      </c>
      <c r="E129" s="64" t="str">
        <f t="array" ref="E129">IFERROR(INDEX(Strategi!$E$5:$E$134,MATCH(LARGE(Strategi!$K$5:$K$134,124),Strategi!$K$5:$K$134,0)),"")</f>
        <v/>
      </c>
      <c r="F129" s="64" t="str">
        <f t="shared" si="3"/>
        <v/>
      </c>
      <c r="G129" s="64" t="str">
        <f t="shared" si="4"/>
        <v/>
      </c>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t="str">
        <f t="array" ref="AF129">IFERROR(INDEX(Strategi!$H$5:$H$134,MATCH(LARGE(Strategi!$K$5:$K$134,124),Strategi!$K$5:$K$134,0)),"")</f>
        <v/>
      </c>
      <c r="AG129" s="3"/>
    </row>
    <row r="130" ht="24.0" customHeight="1">
      <c r="A130" s="64" t="str">
        <f>IFERROR(IF(ISNUMBER(LARGE(Strategi!$K$5:$K$134,125)),125,""),"")</f>
        <v/>
      </c>
      <c r="B130" s="83" t="str">
        <f t="array" ref="B130">IFERROR(INDEX(Strategi!$C$5:$C$134,MATCH(LARGE(Strategi!$K$5:$K$134,125),Strategi!$K$5:$K$134,0)),"")</f>
        <v/>
      </c>
      <c r="C130" s="64" t="str">
        <f t="array" ref="C130">IFERROR(INDEX(Strategi!$D$5:$D$134,MATCH(LARGE(Strategi!$K$5:$K$134,125),Strategi!$K$5:$K$134,0)),"")</f>
        <v/>
      </c>
      <c r="D130" s="83" t="str">
        <f t="array" ref="D130">IFERROR(IF(INDEX(Strategi!$G$5:$G$134,MATCH(LARGE(Strategi!$K$5:$K$134,125),Strategi!$K$5:$K$134,0))="","","("&amp;COUNTIFS($B$6:$B130,$B130,$C$6:$C130,$C130)&amp;") "&amp;INDEX(Strategi!$G$5:$G$134,MATCH(LARGE(Strategi!$K$5:$K$134,125),Strategi!$K$5:$K$134,0))),"")</f>
        <v/>
      </c>
      <c r="E130" s="64" t="str">
        <f t="array" ref="E130">IFERROR(INDEX(Strategi!$E$5:$E$134,MATCH(LARGE(Strategi!$K$5:$K$134,125),Strategi!$K$5:$K$134,0)),"")</f>
        <v/>
      </c>
      <c r="F130" s="64" t="str">
        <f t="shared" si="3"/>
        <v/>
      </c>
      <c r="G130" s="64" t="str">
        <f t="shared" si="4"/>
        <v/>
      </c>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t="str">
        <f t="array" ref="AF130">IFERROR(INDEX(Strategi!$H$5:$H$134,MATCH(LARGE(Strategi!$K$5:$K$134,125),Strategi!$K$5:$K$134,0)),"")</f>
        <v/>
      </c>
      <c r="AG130" s="3"/>
    </row>
    <row r="131" ht="24.0" customHeight="1">
      <c r="A131" s="64" t="str">
        <f>IFERROR(IF(ISNUMBER(LARGE(Strategi!$K$5:$K$134,126)),126,""),"")</f>
        <v/>
      </c>
      <c r="B131" s="83" t="str">
        <f t="array" ref="B131">IFERROR(INDEX(Strategi!$C$5:$C$134,MATCH(LARGE(Strategi!$K$5:$K$134,126),Strategi!$K$5:$K$134,0)),"")</f>
        <v/>
      </c>
      <c r="C131" s="64" t="str">
        <f t="array" ref="C131">IFERROR(INDEX(Strategi!$D$5:$D$134,MATCH(LARGE(Strategi!$K$5:$K$134,126),Strategi!$K$5:$K$134,0)),"")</f>
        <v/>
      </c>
      <c r="D131" s="83" t="str">
        <f t="array" ref="D131">IFERROR(IF(INDEX(Strategi!$G$5:$G$134,MATCH(LARGE(Strategi!$K$5:$K$134,126),Strategi!$K$5:$K$134,0))="","","("&amp;COUNTIFS($B$6:$B131,$B131,$C$6:$C131,$C131)&amp;") "&amp;INDEX(Strategi!$G$5:$G$134,MATCH(LARGE(Strategi!$K$5:$K$134,126),Strategi!$K$5:$K$134,0))),"")</f>
        <v/>
      </c>
      <c r="E131" s="64" t="str">
        <f t="array" ref="E131">IFERROR(INDEX(Strategi!$E$5:$E$134,MATCH(LARGE(Strategi!$K$5:$K$134,126),Strategi!$K$5:$K$134,0)),"")</f>
        <v/>
      </c>
      <c r="F131" s="64" t="str">
        <f t="shared" si="3"/>
        <v/>
      </c>
      <c r="G131" s="64" t="str">
        <f t="shared" si="4"/>
        <v/>
      </c>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t="str">
        <f t="array" ref="AF131">IFERROR(INDEX(Strategi!$H$5:$H$134,MATCH(LARGE(Strategi!$K$5:$K$134,126),Strategi!$K$5:$K$134,0)),"")</f>
        <v/>
      </c>
      <c r="AG131" s="3"/>
    </row>
    <row r="132" ht="24.0" customHeight="1">
      <c r="A132" s="64" t="str">
        <f>IFERROR(IF(ISNUMBER(LARGE(Strategi!$K$5:$K$134,127)),127,""),"")</f>
        <v/>
      </c>
      <c r="B132" s="83" t="str">
        <f t="array" ref="B132">IFERROR(INDEX(Strategi!$C$5:$C$134,MATCH(LARGE(Strategi!$K$5:$K$134,127),Strategi!$K$5:$K$134,0)),"")</f>
        <v/>
      </c>
      <c r="C132" s="64" t="str">
        <f t="array" ref="C132">IFERROR(INDEX(Strategi!$D$5:$D$134,MATCH(LARGE(Strategi!$K$5:$K$134,127),Strategi!$K$5:$K$134,0)),"")</f>
        <v/>
      </c>
      <c r="D132" s="83" t="str">
        <f t="array" ref="D132">IFERROR(IF(INDEX(Strategi!$G$5:$G$134,MATCH(LARGE(Strategi!$K$5:$K$134,127),Strategi!$K$5:$K$134,0))="","","("&amp;COUNTIFS($B$6:$B132,$B132,$C$6:$C132,$C132)&amp;") "&amp;INDEX(Strategi!$G$5:$G$134,MATCH(LARGE(Strategi!$K$5:$K$134,127),Strategi!$K$5:$K$134,0))),"")</f>
        <v/>
      </c>
      <c r="E132" s="64" t="str">
        <f t="array" ref="E132">IFERROR(INDEX(Strategi!$E$5:$E$134,MATCH(LARGE(Strategi!$K$5:$K$134,127),Strategi!$K$5:$K$134,0)),"")</f>
        <v/>
      </c>
      <c r="F132" s="64" t="str">
        <f t="shared" si="3"/>
        <v/>
      </c>
      <c r="G132" s="64" t="str">
        <f t="shared" si="4"/>
        <v/>
      </c>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t="str">
        <f t="array" ref="AF132">IFERROR(INDEX(Strategi!$H$5:$H$134,MATCH(LARGE(Strategi!$K$5:$K$134,127),Strategi!$K$5:$K$134,0)),"")</f>
        <v/>
      </c>
      <c r="AG132" s="3"/>
    </row>
    <row r="133" ht="24.0" customHeight="1">
      <c r="A133" s="64" t="str">
        <f>IFERROR(IF(ISNUMBER(LARGE(Strategi!$K$5:$K$134,128)),128,""),"")</f>
        <v/>
      </c>
      <c r="B133" s="83" t="str">
        <f t="array" ref="B133">IFERROR(INDEX(Strategi!$C$5:$C$134,MATCH(LARGE(Strategi!$K$5:$K$134,128),Strategi!$K$5:$K$134,0)),"")</f>
        <v/>
      </c>
      <c r="C133" s="64" t="str">
        <f t="array" ref="C133">IFERROR(INDEX(Strategi!$D$5:$D$134,MATCH(LARGE(Strategi!$K$5:$K$134,128),Strategi!$K$5:$K$134,0)),"")</f>
        <v/>
      </c>
      <c r="D133" s="83" t="str">
        <f t="array" ref="D133">IFERROR(IF(INDEX(Strategi!$G$5:$G$134,MATCH(LARGE(Strategi!$K$5:$K$134,128),Strategi!$K$5:$K$134,0))="","","("&amp;COUNTIFS($B$6:$B133,$B133,$C$6:$C133,$C133)&amp;") "&amp;INDEX(Strategi!$G$5:$G$134,MATCH(LARGE(Strategi!$K$5:$K$134,128),Strategi!$K$5:$K$134,0))),"")</f>
        <v/>
      </c>
      <c r="E133" s="64" t="str">
        <f t="array" ref="E133">IFERROR(INDEX(Strategi!$E$5:$E$134,MATCH(LARGE(Strategi!$K$5:$K$134,128),Strategi!$K$5:$K$134,0)),"")</f>
        <v/>
      </c>
      <c r="F133" s="64" t="str">
        <f t="shared" si="3"/>
        <v/>
      </c>
      <c r="G133" s="64" t="str">
        <f t="shared" si="4"/>
        <v/>
      </c>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t="str">
        <f t="array" ref="AF133">IFERROR(INDEX(Strategi!$H$5:$H$134,MATCH(LARGE(Strategi!$K$5:$K$134,128),Strategi!$K$5:$K$134,0)),"")</f>
        <v/>
      </c>
      <c r="AG133" s="3"/>
    </row>
    <row r="134" ht="24.0" customHeight="1">
      <c r="A134" s="64" t="str">
        <f>IFERROR(IF(ISNUMBER(LARGE(Strategi!$K$5:$K$134,129)),129,""),"")</f>
        <v/>
      </c>
      <c r="B134" s="83" t="str">
        <f t="array" ref="B134">IFERROR(INDEX(Strategi!$C$5:$C$134,MATCH(LARGE(Strategi!$K$5:$K$134,129),Strategi!$K$5:$K$134,0)),"")</f>
        <v/>
      </c>
      <c r="C134" s="64" t="str">
        <f t="array" ref="C134">IFERROR(INDEX(Strategi!$D$5:$D$134,MATCH(LARGE(Strategi!$K$5:$K$134,129),Strategi!$K$5:$K$134,0)),"")</f>
        <v/>
      </c>
      <c r="D134" s="83" t="str">
        <f t="array" ref="D134">IFERROR(IF(INDEX(Strategi!$G$5:$G$134,MATCH(LARGE(Strategi!$K$5:$K$134,129),Strategi!$K$5:$K$134,0))="","","("&amp;COUNTIFS($B$6:$B134,$B134,$C$6:$C134,$C134)&amp;") "&amp;INDEX(Strategi!$G$5:$G$134,MATCH(LARGE(Strategi!$K$5:$K$134,129),Strategi!$K$5:$K$134,0))),"")</f>
        <v/>
      </c>
      <c r="E134" s="64" t="str">
        <f t="array" ref="E134">IFERROR(INDEX(Strategi!$E$5:$E$134,MATCH(LARGE(Strategi!$K$5:$K$134,129),Strategi!$K$5:$K$134,0)),"")</f>
        <v/>
      </c>
      <c r="F134" s="64" t="str">
        <f t="shared" si="3"/>
        <v/>
      </c>
      <c r="G134" s="64" t="str">
        <f t="shared" si="4"/>
        <v/>
      </c>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t="str">
        <f t="array" ref="AF134">IFERROR(INDEX(Strategi!$H$5:$H$134,MATCH(LARGE(Strategi!$K$5:$K$134,129),Strategi!$K$5:$K$134,0)),"")</f>
        <v/>
      </c>
      <c r="AG134" s="3"/>
    </row>
    <row r="135" ht="24.0" customHeight="1">
      <c r="A135" s="64" t="str">
        <f>IFERROR(IF(ISNUMBER(LARGE(Strategi!$K$5:$K$134,130)),130,""),"")</f>
        <v/>
      </c>
      <c r="B135" s="83" t="str">
        <f t="array" ref="B135">IFERROR(INDEX(Strategi!$C$5:$C$134,MATCH(LARGE(Strategi!$K$5:$K$134,130),Strategi!$K$5:$K$134,0)),"")</f>
        <v/>
      </c>
      <c r="C135" s="64" t="str">
        <f t="array" ref="C135">IFERROR(INDEX(Strategi!$D$5:$D$134,MATCH(LARGE(Strategi!$K$5:$K$134,130),Strategi!$K$5:$K$134,0)),"")</f>
        <v/>
      </c>
      <c r="D135" s="83" t="str">
        <f t="array" ref="D135">IFERROR(IF(INDEX(Strategi!$G$5:$G$134,MATCH(LARGE(Strategi!$K$5:$K$134,130),Strategi!$K$5:$K$134,0))="","","("&amp;COUNTIFS($B$6:$B135,$B135,$C$6:$C135,$C135)&amp;") "&amp;INDEX(Strategi!$G$5:$G$134,MATCH(LARGE(Strategi!$K$5:$K$134,130),Strategi!$K$5:$K$134,0))),"")</f>
        <v/>
      </c>
      <c r="E135" s="64" t="str">
        <f t="array" ref="E135">IFERROR(INDEX(Strategi!$E$5:$E$134,MATCH(LARGE(Strategi!$K$5:$K$134,130),Strategi!$K$5:$K$134,0)),"")</f>
        <v/>
      </c>
      <c r="F135" s="64" t="str">
        <f t="shared" si="3"/>
        <v/>
      </c>
      <c r="G135" s="64" t="str">
        <f t="shared" si="4"/>
        <v/>
      </c>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t="str">
        <f t="array" ref="AF135">IFERROR(INDEX(Strategi!$H$5:$H$134,MATCH(LARGE(Strategi!$K$5:$K$134,130),Strategi!$K$5:$K$134,0)),"")</f>
        <v/>
      </c>
      <c r="AG135" s="3"/>
    </row>
    <row r="136" ht="24.0" customHeight="1">
      <c r="A136" s="148"/>
      <c r="B136" s="149"/>
      <c r="C136" s="148"/>
      <c r="D136" s="149"/>
      <c r="E136" s="148"/>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148"/>
      <c r="AG136" s="3"/>
    </row>
    <row r="137" ht="24.0" customHeight="1">
      <c r="A137" s="148"/>
      <c r="B137" s="149"/>
      <c r="C137" s="148"/>
      <c r="D137" s="149"/>
      <c r="E137" s="148"/>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148"/>
      <c r="AG137" s="3"/>
    </row>
    <row r="138" ht="24.0" customHeight="1">
      <c r="A138" s="148"/>
      <c r="B138" s="149"/>
      <c r="C138" s="148"/>
      <c r="D138" s="149"/>
      <c r="E138" s="148"/>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148"/>
      <c r="AG138" s="3"/>
    </row>
    <row r="139" ht="24.0" customHeight="1">
      <c r="A139" s="148"/>
      <c r="B139" s="149"/>
      <c r="C139" s="148"/>
      <c r="D139" s="149"/>
      <c r="E139" s="148"/>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148"/>
      <c r="AG139" s="3"/>
    </row>
    <row r="140" ht="24.0" customHeight="1">
      <c r="A140" s="148"/>
      <c r="B140" s="149"/>
      <c r="C140" s="148"/>
      <c r="D140" s="149"/>
      <c r="E140" s="148"/>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148"/>
      <c r="AG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row>
  </sheetData>
  <mergeCells count="22">
    <mergeCell ref="AD3:AE4"/>
    <mergeCell ref="AF3:AF5"/>
    <mergeCell ref="P3:Q4"/>
    <mergeCell ref="R3:S4"/>
    <mergeCell ref="T3:U4"/>
    <mergeCell ref="V3:W4"/>
    <mergeCell ref="X3:Y4"/>
    <mergeCell ref="Z3:AA4"/>
    <mergeCell ref="AB3:AC4"/>
    <mergeCell ref="A4:A5"/>
    <mergeCell ref="B4:B5"/>
    <mergeCell ref="C4:C5"/>
    <mergeCell ref="D4:D5"/>
    <mergeCell ref="E4:E5"/>
    <mergeCell ref="F4:F5"/>
    <mergeCell ref="A1:F1"/>
    <mergeCell ref="A2:F2"/>
    <mergeCell ref="A3:G3"/>
    <mergeCell ref="H3:I4"/>
    <mergeCell ref="J3:K4"/>
    <mergeCell ref="L3:M4"/>
    <mergeCell ref="N3:O4"/>
  </mergeCells>
  <conditionalFormatting sqref="E6:E135">
    <cfRule type="cellIs" dxfId="9" priority="1" operator="equal">
      <formula>"TINGGI"</formula>
    </cfRule>
  </conditionalFormatting>
  <conditionalFormatting sqref="E6:E135">
    <cfRule type="cellIs" dxfId="10" priority="2" operator="equal">
      <formula>"SEDERHANA"</formula>
    </cfRule>
  </conditionalFormatting>
  <conditionalFormatting sqref="E6:E135">
    <cfRule type="cellIs" dxfId="11" priority="3" operator="equal">
      <formula>"RENDAH"</formula>
    </cfRule>
  </conditionalFormatting>
  <conditionalFormatting sqref="F6:F135">
    <cfRule type="colorScale" priority="4">
      <colorScale>
        <cfvo type="formula" val="0"/>
        <cfvo type="formula" val="0.5"/>
        <cfvo type="formula" val="1"/>
        <color rgb="FFF8696B"/>
        <color rgb="FFFFEB84"/>
        <color rgb="FF63BE7B"/>
      </colorScale>
    </cfRule>
  </conditionalFormatting>
  <conditionalFormatting sqref="G6:G135">
    <cfRule type="expression" dxfId="12" priority="5">
      <formula>ISNUMBER(SEARCH("P",$G6))</formula>
    </cfRule>
  </conditionalFormatting>
  <conditionalFormatting sqref="I6:I135">
    <cfRule type="expression" dxfId="12" priority="6">
      <formula>AND(ISNUMBER($I6),ISNUMBER($H6),$I6&lt;=$H6)</formula>
    </cfRule>
  </conditionalFormatting>
  <conditionalFormatting sqref="I6:I135">
    <cfRule type="expression" dxfId="13" priority="7">
      <formula>AND(ISNUMBER($I6),ISNUMBER($H6),$I6&gt;$H6)</formula>
    </cfRule>
  </conditionalFormatting>
  <conditionalFormatting sqref="K6:K135">
    <cfRule type="expression" dxfId="12" priority="8">
      <formula>AND(ISNUMBER($K6),ISNUMBER($J6),$K6&lt;=$J6)</formula>
    </cfRule>
  </conditionalFormatting>
  <conditionalFormatting sqref="K6:K135">
    <cfRule type="expression" dxfId="13" priority="9">
      <formula>AND(ISNUMBER($K6),ISNUMBER($J6),$K6&gt;$J6)</formula>
    </cfRule>
  </conditionalFormatting>
  <conditionalFormatting sqref="M6:M135">
    <cfRule type="expression" dxfId="12" priority="10">
      <formula>AND(ISNUMBER($M6),ISNUMBER($L6),$M6&lt;=$L6)</formula>
    </cfRule>
  </conditionalFormatting>
  <conditionalFormatting sqref="M6:M135">
    <cfRule type="expression" dxfId="13" priority="11">
      <formula>AND(ISNUMBER($M6),ISNUMBER($L6),$M6&gt;$L6)</formula>
    </cfRule>
  </conditionalFormatting>
  <conditionalFormatting sqref="O6:O135">
    <cfRule type="expression" dxfId="12" priority="12">
      <formula>AND(ISNUMBER($O6),ISNUMBER($N6),$O6&lt;=$N6)</formula>
    </cfRule>
  </conditionalFormatting>
  <conditionalFormatting sqref="O6:O135">
    <cfRule type="expression" dxfId="13" priority="13">
      <formula>AND(ISNUMBER($O6),ISNUMBER($N6),$O6&gt;$N6)</formula>
    </cfRule>
  </conditionalFormatting>
  <conditionalFormatting sqref="Q6:Q135">
    <cfRule type="expression" dxfId="12" priority="14">
      <formula>AND(ISNUMBER($Q6),ISNUMBER($P6),$Q6&lt;=$P6)</formula>
    </cfRule>
  </conditionalFormatting>
  <conditionalFormatting sqref="Q6:Q135">
    <cfRule type="expression" dxfId="13" priority="15">
      <formula>AND(ISNUMBER($Q6),ISNUMBER($P6),$Q6&gt;$P6)</formula>
    </cfRule>
  </conditionalFormatting>
  <conditionalFormatting sqref="S6:S135">
    <cfRule type="expression" dxfId="12" priority="16">
      <formula>AND(ISNUMBER($S6),ISNUMBER($R6),$S6&lt;=$R6)</formula>
    </cfRule>
  </conditionalFormatting>
  <conditionalFormatting sqref="S6:S135">
    <cfRule type="expression" dxfId="13" priority="17">
      <formula>AND(ISNUMBER($S6),ISNUMBER($R6),$S6&gt;$R6)</formula>
    </cfRule>
  </conditionalFormatting>
  <conditionalFormatting sqref="U6:U135">
    <cfRule type="expression" dxfId="12" priority="18">
      <formula>AND(ISNUMBER($U6),ISNUMBER($T6),$U6&lt;=$T6)</formula>
    </cfRule>
  </conditionalFormatting>
  <conditionalFormatting sqref="U6:U135">
    <cfRule type="expression" dxfId="13" priority="19">
      <formula>AND(ISNUMBER($U6),ISNUMBER($T6),$U6&gt;$T6)</formula>
    </cfRule>
  </conditionalFormatting>
  <conditionalFormatting sqref="W6:W135">
    <cfRule type="expression" dxfId="12" priority="20">
      <formula>AND(ISNUMBER($W6),ISNUMBER($V6),$W6&lt;=$V6)</formula>
    </cfRule>
  </conditionalFormatting>
  <conditionalFormatting sqref="W6:W135">
    <cfRule type="expression" dxfId="13" priority="21">
      <formula>AND(ISNUMBER($W6),ISNUMBER($V6),$W6&gt;$V6)</formula>
    </cfRule>
  </conditionalFormatting>
  <conditionalFormatting sqref="Y6:Y135">
    <cfRule type="expression" dxfId="12" priority="22">
      <formula>AND(ISNUMBER($Y6),ISNUMBER($X6),$Y6&lt;=$X6)</formula>
    </cfRule>
  </conditionalFormatting>
  <conditionalFormatting sqref="Y6:Y135">
    <cfRule type="expression" dxfId="13" priority="23">
      <formula>AND(ISNUMBER($Y6),ISNUMBER($X6),$Y6&gt;$X6)</formula>
    </cfRule>
  </conditionalFormatting>
  <conditionalFormatting sqref="AA6:AA135">
    <cfRule type="expression" dxfId="12" priority="24">
      <formula>AND(ISNUMBER($AA6),ISNUMBER($Z6),$AA6&lt;=$Z6)</formula>
    </cfRule>
  </conditionalFormatting>
  <conditionalFormatting sqref="AA6:AA135">
    <cfRule type="expression" dxfId="13" priority="25">
      <formula>AND(ISNUMBER($AA6),ISNUMBER($Z6),$AA6&gt;$Z6)</formula>
    </cfRule>
  </conditionalFormatting>
  <conditionalFormatting sqref="AC6:AC135">
    <cfRule type="expression" dxfId="12" priority="26">
      <formula>AND(ISNUMBER($AC6),ISNUMBER($AB6),$AC6&lt;=$AB6)</formula>
    </cfRule>
  </conditionalFormatting>
  <conditionalFormatting sqref="AC6:AC135">
    <cfRule type="expression" dxfId="13" priority="27">
      <formula>AND(ISNUMBER($AC6),ISNUMBER($AB6),$AC6&gt;$AB6)</formula>
    </cfRule>
  </conditionalFormatting>
  <conditionalFormatting sqref="AE6:AE135">
    <cfRule type="expression" dxfId="12" priority="28">
      <formula>AND(ISNUMBER($AE6),ISNUMBER($AD6),$AE6&lt;=$AD6)</formula>
    </cfRule>
  </conditionalFormatting>
  <conditionalFormatting sqref="AE6:AE135">
    <cfRule type="expression" dxfId="13" priority="29">
      <formula>AND(ISNUMBER($AE6),ISNUMBER($AD6),$AE6&gt;$AD6)</formula>
    </cfRule>
  </conditionalFormatting>
  <printOptions/>
  <pageMargins bottom="1.0" footer="0.0" header="0.0" left="0.75" right="0.75" top="1.0"/>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6.0" ySplit="5.0" topLeftCell="G6" activePane="bottomRight" state="frozen"/>
      <selection activeCell="G1" sqref="G1" pane="topRight"/>
      <selection activeCell="A6" sqref="A6" pane="bottomLeft"/>
      <selection activeCell="G6" sqref="G6" pane="bottomRight"/>
    </sheetView>
  </sheetViews>
  <sheetFormatPr customHeight="1" defaultColWidth="14.43" defaultRowHeight="15.0"/>
  <cols>
    <col customWidth="1" min="1" max="1" width="32.0"/>
    <col customWidth="1" min="2" max="2" width="8.0"/>
    <col customWidth="1" min="3" max="3" width="22.0"/>
    <col customWidth="1" min="4" max="4" width="9.0"/>
    <col customWidth="1" min="5" max="5" width="11.0"/>
    <col customWidth="1" min="6" max="6" width="18.0"/>
    <col customWidth="1" min="7" max="111" width="6.0"/>
    <col customWidth="1" min="112" max="113" width="15.0"/>
    <col customWidth="1" hidden="1" min="114" max="117" width="8.0"/>
  </cols>
  <sheetData>
    <row r="1" ht="27.75" customHeight="1">
      <c r="A1" s="109" t="s">
        <v>136</v>
      </c>
      <c r="B1" s="110"/>
      <c r="C1" s="110"/>
      <c r="D1" s="110"/>
      <c r="E1" s="110"/>
      <c r="F1" s="111"/>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row>
    <row r="2" ht="19.5" customHeight="1">
      <c r="A2" s="150" t="s">
        <v>137</v>
      </c>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row>
    <row r="3" ht="7.5" hidden="1" customHeight="1">
      <c r="A3" s="3"/>
      <c r="B3" s="3"/>
      <c r="C3" s="3"/>
      <c r="D3" s="3"/>
      <c r="E3" s="3"/>
      <c r="F3" s="3"/>
      <c r="G3" s="151">
        <v>46020.0</v>
      </c>
      <c r="H3" s="151">
        <v>46027.0</v>
      </c>
      <c r="I3" s="151">
        <v>46034.0</v>
      </c>
      <c r="J3" s="151">
        <v>46041.0</v>
      </c>
      <c r="K3" s="151">
        <v>46048.0</v>
      </c>
      <c r="L3" s="151">
        <v>46055.0</v>
      </c>
      <c r="M3" s="151">
        <v>46062.0</v>
      </c>
      <c r="N3" s="151">
        <v>46069.0</v>
      </c>
      <c r="O3" s="151">
        <v>46076.0</v>
      </c>
      <c r="P3" s="151">
        <v>46083.0</v>
      </c>
      <c r="Q3" s="151">
        <v>46090.0</v>
      </c>
      <c r="R3" s="151">
        <v>46097.0</v>
      </c>
      <c r="S3" s="151">
        <v>46104.0</v>
      </c>
      <c r="T3" s="151">
        <v>46111.0</v>
      </c>
      <c r="U3" s="151">
        <v>46118.0</v>
      </c>
      <c r="V3" s="151">
        <v>46125.0</v>
      </c>
      <c r="W3" s="151">
        <v>46132.0</v>
      </c>
      <c r="X3" s="151">
        <v>46139.0</v>
      </c>
      <c r="Y3" s="151">
        <v>46146.0</v>
      </c>
      <c r="Z3" s="151">
        <v>46153.0</v>
      </c>
      <c r="AA3" s="151">
        <v>46160.0</v>
      </c>
      <c r="AB3" s="151">
        <v>46167.0</v>
      </c>
      <c r="AC3" s="151">
        <v>46174.0</v>
      </c>
      <c r="AD3" s="151">
        <v>46181.0</v>
      </c>
      <c r="AE3" s="151">
        <v>46188.0</v>
      </c>
      <c r="AF3" s="151">
        <v>46195.0</v>
      </c>
      <c r="AG3" s="151">
        <v>46202.0</v>
      </c>
      <c r="AH3" s="151">
        <v>46209.0</v>
      </c>
      <c r="AI3" s="151">
        <v>46216.0</v>
      </c>
      <c r="AJ3" s="151">
        <v>46223.0</v>
      </c>
      <c r="AK3" s="151">
        <v>46230.0</v>
      </c>
      <c r="AL3" s="151">
        <v>46237.0</v>
      </c>
      <c r="AM3" s="151">
        <v>46244.0</v>
      </c>
      <c r="AN3" s="151">
        <v>46251.0</v>
      </c>
      <c r="AO3" s="151">
        <v>46258.0</v>
      </c>
      <c r="AP3" s="151">
        <v>46265.0</v>
      </c>
      <c r="AQ3" s="151">
        <v>46272.0</v>
      </c>
      <c r="AR3" s="151">
        <v>46279.0</v>
      </c>
      <c r="AS3" s="151">
        <v>46286.0</v>
      </c>
      <c r="AT3" s="151">
        <v>46293.0</v>
      </c>
      <c r="AU3" s="151">
        <v>46300.0</v>
      </c>
      <c r="AV3" s="151">
        <v>46307.0</v>
      </c>
      <c r="AW3" s="151">
        <v>46314.0</v>
      </c>
      <c r="AX3" s="151">
        <v>46321.0</v>
      </c>
      <c r="AY3" s="151">
        <v>46328.0</v>
      </c>
      <c r="AZ3" s="151">
        <v>46335.0</v>
      </c>
      <c r="BA3" s="151">
        <v>46342.0</v>
      </c>
      <c r="BB3" s="151">
        <v>46349.0</v>
      </c>
      <c r="BC3" s="151">
        <v>46356.0</v>
      </c>
      <c r="BD3" s="151">
        <v>46363.0</v>
      </c>
      <c r="BE3" s="151">
        <v>46370.0</v>
      </c>
      <c r="BF3" s="151">
        <v>46377.0</v>
      </c>
      <c r="BG3" s="151">
        <v>46384.0</v>
      </c>
      <c r="BH3" s="151">
        <v>46391.0</v>
      </c>
      <c r="BI3" s="151">
        <v>46398.0</v>
      </c>
      <c r="BJ3" s="151">
        <v>46405.0</v>
      </c>
      <c r="BK3" s="151">
        <v>46412.0</v>
      </c>
      <c r="BL3" s="151">
        <v>46419.0</v>
      </c>
      <c r="BM3" s="151">
        <v>46426.0</v>
      </c>
      <c r="BN3" s="151">
        <v>46433.0</v>
      </c>
      <c r="BO3" s="151">
        <v>46440.0</v>
      </c>
      <c r="BP3" s="151">
        <v>46447.0</v>
      </c>
      <c r="BQ3" s="151">
        <v>46454.0</v>
      </c>
      <c r="BR3" s="151">
        <v>46461.0</v>
      </c>
      <c r="BS3" s="151">
        <v>46468.0</v>
      </c>
      <c r="BT3" s="151">
        <v>46475.0</v>
      </c>
      <c r="BU3" s="151">
        <v>46482.0</v>
      </c>
      <c r="BV3" s="151">
        <v>46489.0</v>
      </c>
      <c r="BW3" s="151">
        <v>46496.0</v>
      </c>
      <c r="BX3" s="151">
        <v>46503.0</v>
      </c>
      <c r="BY3" s="151">
        <v>46510.0</v>
      </c>
      <c r="BZ3" s="151">
        <v>46517.0</v>
      </c>
      <c r="CA3" s="151">
        <v>46524.0</v>
      </c>
      <c r="CB3" s="151">
        <v>46531.0</v>
      </c>
      <c r="CC3" s="151">
        <v>46538.0</v>
      </c>
      <c r="CD3" s="151">
        <v>46545.0</v>
      </c>
      <c r="CE3" s="151">
        <v>46552.0</v>
      </c>
      <c r="CF3" s="151">
        <v>46559.0</v>
      </c>
      <c r="CG3" s="151">
        <v>46566.0</v>
      </c>
      <c r="CH3" s="151">
        <v>46573.0</v>
      </c>
      <c r="CI3" s="151">
        <v>46580.0</v>
      </c>
      <c r="CJ3" s="151">
        <v>46587.0</v>
      </c>
      <c r="CK3" s="151">
        <v>46594.0</v>
      </c>
      <c r="CL3" s="151">
        <v>46601.0</v>
      </c>
      <c r="CM3" s="151">
        <v>46608.0</v>
      </c>
      <c r="CN3" s="151">
        <v>46615.0</v>
      </c>
      <c r="CO3" s="151">
        <v>46622.0</v>
      </c>
      <c r="CP3" s="151">
        <v>46629.0</v>
      </c>
      <c r="CQ3" s="151">
        <v>46636.0</v>
      </c>
      <c r="CR3" s="151">
        <v>46643.0</v>
      </c>
      <c r="CS3" s="151">
        <v>46650.0</v>
      </c>
      <c r="CT3" s="151">
        <v>46657.0</v>
      </c>
      <c r="CU3" s="151">
        <v>46664.0</v>
      </c>
      <c r="CV3" s="151">
        <v>46671.0</v>
      </c>
      <c r="CW3" s="151">
        <v>46678.0</v>
      </c>
      <c r="CX3" s="151">
        <v>46685.0</v>
      </c>
      <c r="CY3" s="151">
        <v>46692.0</v>
      </c>
      <c r="CZ3" s="151">
        <v>46699.0</v>
      </c>
      <c r="DA3" s="151">
        <v>46706.0</v>
      </c>
      <c r="DB3" s="151">
        <v>46713.0</v>
      </c>
      <c r="DC3" s="151">
        <v>46720.0</v>
      </c>
      <c r="DD3" s="151">
        <v>46727.0</v>
      </c>
      <c r="DE3" s="151">
        <v>46734.0</v>
      </c>
      <c r="DF3" s="151">
        <v>46741.0</v>
      </c>
      <c r="DG3" s="151">
        <v>46748.0</v>
      </c>
      <c r="DH3" s="3"/>
      <c r="DI3" s="3"/>
      <c r="DJ3" s="3"/>
      <c r="DK3" s="3"/>
      <c r="DL3" s="3"/>
      <c r="DM3" s="3"/>
    </row>
    <row r="4" ht="27.75" customHeight="1">
      <c r="A4" s="25" t="s">
        <v>129</v>
      </c>
      <c r="B4" s="25" t="s">
        <v>95</v>
      </c>
      <c r="C4" s="25" t="s">
        <v>138</v>
      </c>
      <c r="D4" s="25" t="s">
        <v>139</v>
      </c>
      <c r="E4" s="25" t="s">
        <v>132</v>
      </c>
      <c r="F4" s="25" t="s">
        <v>133</v>
      </c>
      <c r="G4" s="138" t="s">
        <v>140</v>
      </c>
      <c r="H4" s="129" t="s">
        <v>141</v>
      </c>
      <c r="I4" s="11"/>
      <c r="J4" s="11"/>
      <c r="K4" s="24"/>
      <c r="L4" s="129" t="s">
        <v>142</v>
      </c>
      <c r="M4" s="11"/>
      <c r="N4" s="11"/>
      <c r="O4" s="24"/>
      <c r="P4" s="129" t="s">
        <v>143</v>
      </c>
      <c r="Q4" s="11"/>
      <c r="R4" s="11"/>
      <c r="S4" s="11"/>
      <c r="T4" s="24"/>
      <c r="U4" s="129" t="s">
        <v>144</v>
      </c>
      <c r="V4" s="11"/>
      <c r="W4" s="11"/>
      <c r="X4" s="24"/>
      <c r="Y4" s="129" t="s">
        <v>145</v>
      </c>
      <c r="Z4" s="11"/>
      <c r="AA4" s="11"/>
      <c r="AB4" s="24"/>
      <c r="AC4" s="129" t="s">
        <v>146</v>
      </c>
      <c r="AD4" s="11"/>
      <c r="AE4" s="11"/>
      <c r="AF4" s="11"/>
      <c r="AG4" s="24"/>
      <c r="AH4" s="129" t="s">
        <v>147</v>
      </c>
      <c r="AI4" s="11"/>
      <c r="AJ4" s="11"/>
      <c r="AK4" s="24"/>
      <c r="AL4" s="129" t="s">
        <v>148</v>
      </c>
      <c r="AM4" s="11"/>
      <c r="AN4" s="11"/>
      <c r="AO4" s="11"/>
      <c r="AP4" s="24"/>
      <c r="AQ4" s="129" t="s">
        <v>149</v>
      </c>
      <c r="AR4" s="11"/>
      <c r="AS4" s="11"/>
      <c r="AT4" s="24"/>
      <c r="AU4" s="129" t="s">
        <v>150</v>
      </c>
      <c r="AV4" s="11"/>
      <c r="AW4" s="11"/>
      <c r="AX4" s="24"/>
      <c r="AY4" s="129" t="s">
        <v>151</v>
      </c>
      <c r="AZ4" s="11"/>
      <c r="BA4" s="11"/>
      <c r="BB4" s="11"/>
      <c r="BC4" s="24"/>
      <c r="BD4" s="129" t="s">
        <v>152</v>
      </c>
      <c r="BE4" s="11"/>
      <c r="BF4" s="11"/>
      <c r="BG4" s="24"/>
      <c r="BH4" s="129" t="s">
        <v>153</v>
      </c>
      <c r="BI4" s="11"/>
      <c r="BJ4" s="11"/>
      <c r="BK4" s="24"/>
      <c r="BL4" s="129" t="s">
        <v>154</v>
      </c>
      <c r="BM4" s="11"/>
      <c r="BN4" s="11"/>
      <c r="BO4" s="24"/>
      <c r="BP4" s="129" t="s">
        <v>155</v>
      </c>
      <c r="BQ4" s="11"/>
      <c r="BR4" s="11"/>
      <c r="BS4" s="11"/>
      <c r="BT4" s="24"/>
      <c r="BU4" s="129" t="s">
        <v>156</v>
      </c>
      <c r="BV4" s="11"/>
      <c r="BW4" s="11"/>
      <c r="BX4" s="24"/>
      <c r="BY4" s="129" t="s">
        <v>157</v>
      </c>
      <c r="BZ4" s="11"/>
      <c r="CA4" s="11"/>
      <c r="CB4" s="11"/>
      <c r="CC4" s="24"/>
      <c r="CD4" s="129" t="s">
        <v>158</v>
      </c>
      <c r="CE4" s="11"/>
      <c r="CF4" s="11"/>
      <c r="CG4" s="24"/>
      <c r="CH4" s="129" t="s">
        <v>159</v>
      </c>
      <c r="CI4" s="11"/>
      <c r="CJ4" s="11"/>
      <c r="CK4" s="24"/>
      <c r="CL4" s="129" t="s">
        <v>160</v>
      </c>
      <c r="CM4" s="11"/>
      <c r="CN4" s="11"/>
      <c r="CO4" s="11"/>
      <c r="CP4" s="24"/>
      <c r="CQ4" s="129" t="s">
        <v>161</v>
      </c>
      <c r="CR4" s="11"/>
      <c r="CS4" s="11"/>
      <c r="CT4" s="24"/>
      <c r="CU4" s="129" t="s">
        <v>162</v>
      </c>
      <c r="CV4" s="11"/>
      <c r="CW4" s="11"/>
      <c r="CX4" s="24"/>
      <c r="CY4" s="129" t="s">
        <v>163</v>
      </c>
      <c r="CZ4" s="11"/>
      <c r="DA4" s="11"/>
      <c r="DB4" s="11"/>
      <c r="DC4" s="24"/>
      <c r="DD4" s="129" t="s">
        <v>164</v>
      </c>
      <c r="DE4" s="11"/>
      <c r="DF4" s="11"/>
      <c r="DG4" s="24"/>
      <c r="DH4" s="25" t="s">
        <v>98</v>
      </c>
      <c r="DI4" s="25" t="s">
        <v>165</v>
      </c>
      <c r="DJ4" s="152" t="s">
        <v>166</v>
      </c>
      <c r="DK4" s="152" t="s">
        <v>167</v>
      </c>
      <c r="DL4" s="152" t="s">
        <v>168</v>
      </c>
      <c r="DM4" s="152" t="s">
        <v>169</v>
      </c>
    </row>
    <row r="5" ht="21.75" customHeight="1">
      <c r="A5" s="41"/>
      <c r="B5" s="41"/>
      <c r="C5" s="41"/>
      <c r="D5" s="41"/>
      <c r="E5" s="41"/>
      <c r="F5" s="41"/>
      <c r="G5" s="139" t="s">
        <v>170</v>
      </c>
      <c r="H5" s="139" t="s">
        <v>171</v>
      </c>
      <c r="I5" s="139" t="s">
        <v>172</v>
      </c>
      <c r="J5" s="139" t="s">
        <v>173</v>
      </c>
      <c r="K5" s="139" t="s">
        <v>174</v>
      </c>
      <c r="L5" s="139" t="s">
        <v>175</v>
      </c>
      <c r="M5" s="139" t="s">
        <v>176</v>
      </c>
      <c r="N5" s="139" t="s">
        <v>177</v>
      </c>
      <c r="O5" s="139" t="s">
        <v>178</v>
      </c>
      <c r="P5" s="139" t="s">
        <v>179</v>
      </c>
      <c r="Q5" s="139" t="s">
        <v>180</v>
      </c>
      <c r="R5" s="139" t="s">
        <v>181</v>
      </c>
      <c r="S5" s="139" t="s">
        <v>182</v>
      </c>
      <c r="T5" s="139" t="s">
        <v>183</v>
      </c>
      <c r="U5" s="139" t="s">
        <v>184</v>
      </c>
      <c r="V5" s="139" t="s">
        <v>185</v>
      </c>
      <c r="W5" s="139" t="s">
        <v>186</v>
      </c>
      <c r="X5" s="139" t="s">
        <v>187</v>
      </c>
      <c r="Y5" s="139" t="s">
        <v>188</v>
      </c>
      <c r="Z5" s="139" t="s">
        <v>189</v>
      </c>
      <c r="AA5" s="139" t="s">
        <v>190</v>
      </c>
      <c r="AB5" s="139" t="s">
        <v>191</v>
      </c>
      <c r="AC5" s="139" t="s">
        <v>192</v>
      </c>
      <c r="AD5" s="139" t="s">
        <v>193</v>
      </c>
      <c r="AE5" s="139" t="s">
        <v>194</v>
      </c>
      <c r="AF5" s="139" t="s">
        <v>195</v>
      </c>
      <c r="AG5" s="139" t="s">
        <v>196</v>
      </c>
      <c r="AH5" s="139" t="s">
        <v>197</v>
      </c>
      <c r="AI5" s="139" t="s">
        <v>198</v>
      </c>
      <c r="AJ5" s="139" t="s">
        <v>199</v>
      </c>
      <c r="AK5" s="139" t="s">
        <v>200</v>
      </c>
      <c r="AL5" s="139" t="s">
        <v>201</v>
      </c>
      <c r="AM5" s="139" t="s">
        <v>202</v>
      </c>
      <c r="AN5" s="139" t="s">
        <v>203</v>
      </c>
      <c r="AO5" s="139" t="s">
        <v>204</v>
      </c>
      <c r="AP5" s="139" t="s">
        <v>205</v>
      </c>
      <c r="AQ5" s="139" t="s">
        <v>206</v>
      </c>
      <c r="AR5" s="139" t="s">
        <v>207</v>
      </c>
      <c r="AS5" s="139" t="s">
        <v>208</v>
      </c>
      <c r="AT5" s="139" t="s">
        <v>209</v>
      </c>
      <c r="AU5" s="139" t="s">
        <v>210</v>
      </c>
      <c r="AV5" s="139" t="s">
        <v>211</v>
      </c>
      <c r="AW5" s="139" t="s">
        <v>212</v>
      </c>
      <c r="AX5" s="139" t="s">
        <v>213</v>
      </c>
      <c r="AY5" s="139" t="s">
        <v>214</v>
      </c>
      <c r="AZ5" s="139" t="s">
        <v>215</v>
      </c>
      <c r="BA5" s="139" t="s">
        <v>216</v>
      </c>
      <c r="BB5" s="139" t="s">
        <v>217</v>
      </c>
      <c r="BC5" s="139" t="s">
        <v>218</v>
      </c>
      <c r="BD5" s="139" t="s">
        <v>219</v>
      </c>
      <c r="BE5" s="139" t="s">
        <v>220</v>
      </c>
      <c r="BF5" s="139" t="s">
        <v>221</v>
      </c>
      <c r="BG5" s="139" t="s">
        <v>222</v>
      </c>
      <c r="BH5" s="139" t="s">
        <v>223</v>
      </c>
      <c r="BI5" s="139" t="s">
        <v>224</v>
      </c>
      <c r="BJ5" s="139" t="s">
        <v>225</v>
      </c>
      <c r="BK5" s="139" t="s">
        <v>226</v>
      </c>
      <c r="BL5" s="139" t="s">
        <v>227</v>
      </c>
      <c r="BM5" s="139" t="s">
        <v>228</v>
      </c>
      <c r="BN5" s="139" t="s">
        <v>229</v>
      </c>
      <c r="BO5" s="139" t="s">
        <v>230</v>
      </c>
      <c r="BP5" s="139" t="s">
        <v>231</v>
      </c>
      <c r="BQ5" s="139" t="s">
        <v>232</v>
      </c>
      <c r="BR5" s="139" t="s">
        <v>233</v>
      </c>
      <c r="BS5" s="139" t="s">
        <v>234</v>
      </c>
      <c r="BT5" s="139" t="s">
        <v>235</v>
      </c>
      <c r="BU5" s="139" t="s">
        <v>236</v>
      </c>
      <c r="BV5" s="139" t="s">
        <v>237</v>
      </c>
      <c r="BW5" s="139" t="s">
        <v>238</v>
      </c>
      <c r="BX5" s="139" t="s">
        <v>239</v>
      </c>
      <c r="BY5" s="139" t="s">
        <v>240</v>
      </c>
      <c r="BZ5" s="139" t="s">
        <v>241</v>
      </c>
      <c r="CA5" s="139" t="s">
        <v>242</v>
      </c>
      <c r="CB5" s="139" t="s">
        <v>243</v>
      </c>
      <c r="CC5" s="139" t="s">
        <v>244</v>
      </c>
      <c r="CD5" s="139" t="s">
        <v>245</v>
      </c>
      <c r="CE5" s="139" t="s">
        <v>246</v>
      </c>
      <c r="CF5" s="139" t="s">
        <v>247</v>
      </c>
      <c r="CG5" s="139" t="s">
        <v>248</v>
      </c>
      <c r="CH5" s="139" t="s">
        <v>249</v>
      </c>
      <c r="CI5" s="139" t="s">
        <v>250</v>
      </c>
      <c r="CJ5" s="139" t="s">
        <v>251</v>
      </c>
      <c r="CK5" s="139" t="s">
        <v>252</v>
      </c>
      <c r="CL5" s="139" t="s">
        <v>253</v>
      </c>
      <c r="CM5" s="139" t="s">
        <v>254</v>
      </c>
      <c r="CN5" s="139" t="s">
        <v>255</v>
      </c>
      <c r="CO5" s="139" t="s">
        <v>256</v>
      </c>
      <c r="CP5" s="139" t="s">
        <v>257</v>
      </c>
      <c r="CQ5" s="139" t="s">
        <v>258</v>
      </c>
      <c r="CR5" s="139" t="s">
        <v>259</v>
      </c>
      <c r="CS5" s="139" t="s">
        <v>260</v>
      </c>
      <c r="CT5" s="139" t="s">
        <v>261</v>
      </c>
      <c r="CU5" s="139" t="s">
        <v>262</v>
      </c>
      <c r="CV5" s="139" t="s">
        <v>263</v>
      </c>
      <c r="CW5" s="139" t="s">
        <v>264</v>
      </c>
      <c r="CX5" s="139" t="s">
        <v>265</v>
      </c>
      <c r="CY5" s="139" t="s">
        <v>266</v>
      </c>
      <c r="CZ5" s="139" t="s">
        <v>267</v>
      </c>
      <c r="DA5" s="139" t="s">
        <v>268</v>
      </c>
      <c r="DB5" s="139" t="s">
        <v>269</v>
      </c>
      <c r="DC5" s="139" t="s">
        <v>270</v>
      </c>
      <c r="DD5" s="139" t="s">
        <v>271</v>
      </c>
      <c r="DE5" s="139" t="s">
        <v>272</v>
      </c>
      <c r="DF5" s="139" t="s">
        <v>273</v>
      </c>
      <c r="DG5" s="139" t="s">
        <v>274</v>
      </c>
      <c r="DH5" s="41"/>
      <c r="DI5" s="41"/>
      <c r="DJ5" s="3"/>
      <c r="DK5" s="3"/>
      <c r="DL5" s="3"/>
      <c r="DM5" s="3"/>
    </row>
    <row r="6" ht="19.5" customHeight="1">
      <c r="A6" s="153" t="str">
        <f>'Pelan Pengambilan'!B6</f>
        <v>Pegawai Perubatan</v>
      </c>
      <c r="B6" s="154" t="str">
        <f>'Pelan Pengambilan'!C6</f>
        <v>UD15</v>
      </c>
      <c r="C6" s="153" t="str">
        <f t="array" ref="C6">IFERROR(IF(INDEX(Strategi!$F$5:$F$134,MATCH(LARGE(Strategi!$K$5:$K$134,1),Strategi!$K$5:$K$134,0))="","","("&amp;COUNTIFS('Pelan Pengambilan'!$B$6,'Pelan Pengambilan'!$B6,'Pelan Pengambilan'!$C$6,'Pelan Pengambilan'!$C6)&amp;") "&amp;INDEX(Strategi!$F$5:$F$134,MATCH(LARGE(Strategi!$K$5:$K$134,1),Strategi!$K$5:$K$134,0))),"")</f>
        <v>(1) Pengambilan calon baharu</v>
      </c>
      <c r="D6" s="155" t="s">
        <v>275</v>
      </c>
      <c r="E6" s="156">
        <f>IFERROR(IF(COUNT('Pelan Pengambilan'!H6,'Pelan Pengambilan'!J6,'Pelan Pengambilan'!L6,'Pelan Pengambilan'!N6,'Pelan Pengambilan'!P6,'Pelan Pengambilan'!R6,'Pelan Pengambilan'!T6,'Pelan Pengambilan'!V6,'Pelan Pengambilan'!X6,'Pelan Pengambilan'!Z6,'Pelan Pengambilan'!AB6,'Pelan Pengambilan'!AD6)=0,"",COUNT('Pelan Pengambilan'!I6,'Pelan Pengambilan'!K6,'Pelan Pengambilan'!M6,'Pelan Pengambilan'!O6,'Pelan Pengambilan'!Q6,'Pelan Pengambilan'!S6,'Pelan Pengambilan'!U6,'Pelan Pengambilan'!W6,'Pelan Pengambilan'!Y6,'Pelan Pengambilan'!AA6,'Pelan Pengambilan'!AC6,'Pelan Pengambilan'!AE6)/COUNT('Pelan Pengambilan'!H6,'Pelan Pengambilan'!J6,'Pelan Pengambilan'!L6,'Pelan Pengambilan'!N6,'Pelan Pengambilan'!P6,'Pelan Pengambilan'!R6,'Pelan Pengambilan'!T6,'Pelan Pengambilan'!V6,'Pelan Pengambilan'!X6,'Pelan Pengambilan'!Z6,'Pelan Pengambilan'!AB6,'Pelan Pengambilan'!AD6)),"")</f>
        <v>0</v>
      </c>
      <c r="F6" s="157" t="str">
        <f>IFERROR(IF('Pelan Pengambilan'!G6="","",'Pelan Pengambilan'!G6),"")</f>
        <v/>
      </c>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158"/>
      <c r="CB6" s="158"/>
      <c r="CC6" s="158"/>
      <c r="CD6" s="158"/>
      <c r="CE6" s="158"/>
      <c r="CF6" s="158"/>
      <c r="CG6" s="158"/>
      <c r="CH6" s="158"/>
      <c r="CI6" s="158"/>
      <c r="CJ6" s="158"/>
      <c r="CK6" s="158"/>
      <c r="CL6" s="158"/>
      <c r="CM6" s="158"/>
      <c r="CN6" s="158"/>
      <c r="CO6" s="158"/>
      <c r="CP6" s="158"/>
      <c r="CQ6" s="158"/>
      <c r="CR6" s="158"/>
      <c r="CS6" s="158"/>
      <c r="CT6" s="158"/>
      <c r="CU6" s="158"/>
      <c r="CV6" s="158"/>
      <c r="CW6" s="158"/>
      <c r="CX6" s="158"/>
      <c r="CY6" s="158"/>
      <c r="CZ6" s="158"/>
      <c r="DA6" s="158"/>
      <c r="DB6" s="158"/>
      <c r="DC6" s="158"/>
      <c r="DD6" s="158"/>
      <c r="DE6" s="158"/>
      <c r="DF6" s="158"/>
      <c r="DG6" s="158"/>
      <c r="DH6" s="154">
        <f>'Pelan Pengambilan'!AF6</f>
        <v>2</v>
      </c>
      <c r="DI6" s="154"/>
      <c r="DJ6" s="159">
        <f>IFERROR(MIN('Pelan Pengambilan'!H6,'Pelan Pengambilan'!J6,'Pelan Pengambilan'!L6,'Pelan Pengambilan'!N6,'Pelan Pengambilan'!P6,'Pelan Pengambilan'!R6,'Pelan Pengambilan'!T6,'Pelan Pengambilan'!V6,'Pelan Pengambilan'!X6,'Pelan Pengambilan'!Z6,'Pelan Pengambilan'!AB6,'Pelan Pengambilan'!AD6),"")</f>
        <v>46188</v>
      </c>
      <c r="DK6" s="159">
        <f>IFERROR(MAX('Pelan Pengambilan'!H6,'Pelan Pengambilan'!J6,'Pelan Pengambilan'!L6,'Pelan Pengambilan'!N6,'Pelan Pengambilan'!P6,'Pelan Pengambilan'!R6,'Pelan Pengambilan'!T6,'Pelan Pengambilan'!V6,'Pelan Pengambilan'!X6,'Pelan Pengambilan'!Z6,'Pelan Pengambilan'!AB6,'Pelan Pengambilan'!AD6),"")</f>
        <v>46188</v>
      </c>
      <c r="DL6" s="159">
        <f>IFERROR(MIN('Pelan Pengambilan'!I6,'Pelan Pengambilan'!K6,'Pelan Pengambilan'!M6,'Pelan Pengambilan'!O6,'Pelan Pengambilan'!Q6,'Pelan Pengambilan'!S6,'Pelan Pengambilan'!U6,'Pelan Pengambilan'!W6,'Pelan Pengambilan'!Y6,'Pelan Pengambilan'!AA6,'Pelan Pengambilan'!AC6,'Pelan Pengambilan'!AE6),"")</f>
        <v>0</v>
      </c>
      <c r="DM6" s="159">
        <f>IFERROR(MAX('Pelan Pengambilan'!I6,'Pelan Pengambilan'!K6,'Pelan Pengambilan'!M6,'Pelan Pengambilan'!O6,'Pelan Pengambilan'!Q6,'Pelan Pengambilan'!S6,'Pelan Pengambilan'!U6,'Pelan Pengambilan'!W6,'Pelan Pengambilan'!Y6,'Pelan Pengambilan'!AA6,'Pelan Pengambilan'!AC6,'Pelan Pengambilan'!AE6),"")</f>
        <v>0</v>
      </c>
    </row>
    <row r="7" ht="19.5" customHeight="1">
      <c r="A7" s="41"/>
      <c r="B7" s="41"/>
      <c r="C7" s="41"/>
      <c r="D7" s="155" t="s">
        <v>276</v>
      </c>
      <c r="E7" s="41"/>
      <c r="F7" s="41"/>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c r="DE7" s="158"/>
      <c r="DF7" s="158"/>
      <c r="DG7" s="158"/>
      <c r="DH7" s="41"/>
      <c r="DI7" s="41"/>
      <c r="DJ7" s="3"/>
      <c r="DK7" s="3"/>
      <c r="DL7" s="3"/>
      <c r="DM7" s="3"/>
    </row>
    <row r="8" ht="19.5" customHeight="1">
      <c r="A8" s="153" t="str">
        <f>'Pelan Pengambilan'!B7</f>
        <v>Pegawai Perubatan</v>
      </c>
      <c r="B8" s="154" t="str">
        <f>'Pelan Pengambilan'!C7</f>
        <v>UD10</v>
      </c>
      <c r="C8" s="153" t="str">
        <f t="array" ref="C8">IFERROR(IF(INDEX(Strategi!$F$5:$F$134,MATCH(LARGE(Strategi!$K$5:$K$134,2),Strategi!$K$5:$K$134,0))="","","("&amp;COUNTIFS('Pelan Pengambilan'!$B$6:$B$7,'Pelan Pengambilan'!$B7,'Pelan Pengambilan'!$C$6:$C$7,'Pelan Pengambilan'!$C7)&amp;") "&amp;INDEX(Strategi!$F$5:$F$134,MATCH(LARGE(Strategi!$K$5:$K$134,2),Strategi!$K$5:$K$134,0))),"")</f>
        <v>(1) Pengambilan 1,455 calon simpanan akan dibuat setelah waran perjawatan baharu diterima daripada MOF dijangka pada Jun 2026. </v>
      </c>
      <c r="D8" s="155" t="s">
        <v>275</v>
      </c>
      <c r="E8" s="156">
        <f>IFERROR(IF(COUNT('Pelan Pengambilan'!H7,'Pelan Pengambilan'!J7,'Pelan Pengambilan'!L7,'Pelan Pengambilan'!N7,'Pelan Pengambilan'!P7,'Pelan Pengambilan'!R7,'Pelan Pengambilan'!T7,'Pelan Pengambilan'!V7,'Pelan Pengambilan'!X7,'Pelan Pengambilan'!Z7,'Pelan Pengambilan'!AB7,'Pelan Pengambilan'!AD7)=0,"",COUNT('Pelan Pengambilan'!I7,'Pelan Pengambilan'!K7,'Pelan Pengambilan'!M7,'Pelan Pengambilan'!O7,'Pelan Pengambilan'!Q7,'Pelan Pengambilan'!S7,'Pelan Pengambilan'!U7,'Pelan Pengambilan'!W7,'Pelan Pengambilan'!Y7,'Pelan Pengambilan'!AA7,'Pelan Pengambilan'!AC7,'Pelan Pengambilan'!AE7)/COUNT('Pelan Pengambilan'!H7,'Pelan Pengambilan'!J7,'Pelan Pengambilan'!L7,'Pelan Pengambilan'!N7,'Pelan Pengambilan'!P7,'Pelan Pengambilan'!R7,'Pelan Pengambilan'!T7,'Pelan Pengambilan'!V7,'Pelan Pengambilan'!X7,'Pelan Pengambilan'!Z7,'Pelan Pengambilan'!AB7,'Pelan Pengambilan'!AD7)),"")</f>
        <v>0</v>
      </c>
      <c r="F8" s="157" t="str">
        <f>IFERROR(IF('Pelan Pengambilan'!G7="","",'Pelan Pengambilan'!G7),"")</f>
        <v/>
      </c>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c r="CD8" s="158"/>
      <c r="CE8" s="158"/>
      <c r="CF8" s="158"/>
      <c r="CG8" s="158"/>
      <c r="CH8" s="158"/>
      <c r="CI8" s="158"/>
      <c r="CJ8" s="158"/>
      <c r="CK8" s="158"/>
      <c r="CL8" s="158"/>
      <c r="CM8" s="158"/>
      <c r="CN8" s="158"/>
      <c r="CO8" s="158"/>
      <c r="CP8" s="158"/>
      <c r="CQ8" s="158"/>
      <c r="CR8" s="158"/>
      <c r="CS8" s="158"/>
      <c r="CT8" s="158"/>
      <c r="CU8" s="158"/>
      <c r="CV8" s="158"/>
      <c r="CW8" s="158"/>
      <c r="CX8" s="158"/>
      <c r="CY8" s="158"/>
      <c r="CZ8" s="158"/>
      <c r="DA8" s="158"/>
      <c r="DB8" s="158"/>
      <c r="DC8" s="158"/>
      <c r="DD8" s="158"/>
      <c r="DE8" s="158"/>
      <c r="DF8" s="158"/>
      <c r="DG8" s="158"/>
      <c r="DH8" s="154">
        <f>'Pelan Pengambilan'!AF7</f>
        <v>1455</v>
      </c>
      <c r="DI8" s="154"/>
      <c r="DJ8" s="159">
        <f>IFERROR(MIN('Pelan Pengambilan'!H7,'Pelan Pengambilan'!J7,'Pelan Pengambilan'!L7,'Pelan Pengambilan'!N7,'Pelan Pengambilan'!P7,'Pelan Pengambilan'!R7,'Pelan Pengambilan'!T7,'Pelan Pengambilan'!V7,'Pelan Pengambilan'!X7,'Pelan Pengambilan'!Z7,'Pelan Pengambilan'!AB7,'Pelan Pengambilan'!AD7),"")</f>
        <v>46204</v>
      </c>
      <c r="DK8" s="159">
        <f>IFERROR(MAX('Pelan Pengambilan'!H7,'Pelan Pengambilan'!J7,'Pelan Pengambilan'!L7,'Pelan Pengambilan'!N7,'Pelan Pengambilan'!P7,'Pelan Pengambilan'!R7,'Pelan Pengambilan'!T7,'Pelan Pengambilan'!V7,'Pelan Pengambilan'!X7,'Pelan Pengambilan'!Z7,'Pelan Pengambilan'!AB7,'Pelan Pengambilan'!AD7),"")</f>
        <v>46401</v>
      </c>
      <c r="DL8" s="3">
        <f>IFERROR(MIN('Pelan Pengambilan'!I7,'Pelan Pengambilan'!K7,'Pelan Pengambilan'!M7,'Pelan Pengambilan'!O7,'Pelan Pengambilan'!Q7,'Pelan Pengambilan'!S7,'Pelan Pengambilan'!U7,'Pelan Pengambilan'!W7,'Pelan Pengambilan'!Y7,'Pelan Pengambilan'!AA7,'Pelan Pengambilan'!AC7,'Pelan Pengambilan'!AE7),"")</f>
        <v>0</v>
      </c>
      <c r="DM8" s="3">
        <f>IFERROR(MAX('Pelan Pengambilan'!I7,'Pelan Pengambilan'!K7,'Pelan Pengambilan'!M7,'Pelan Pengambilan'!O7,'Pelan Pengambilan'!Q7,'Pelan Pengambilan'!S7,'Pelan Pengambilan'!U7,'Pelan Pengambilan'!W7,'Pelan Pengambilan'!Y7,'Pelan Pengambilan'!AA7,'Pelan Pengambilan'!AC7,'Pelan Pengambilan'!AE7),"")</f>
        <v>0</v>
      </c>
    </row>
    <row r="9" ht="19.5" customHeight="1">
      <c r="A9" s="41"/>
      <c r="B9" s="41"/>
      <c r="C9" s="41"/>
      <c r="D9" s="155" t="s">
        <v>276</v>
      </c>
      <c r="E9" s="41"/>
      <c r="F9" s="41"/>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c r="CD9" s="158"/>
      <c r="CE9" s="158"/>
      <c r="CF9" s="158"/>
      <c r="CG9" s="158"/>
      <c r="CH9" s="158"/>
      <c r="CI9" s="158"/>
      <c r="CJ9" s="158"/>
      <c r="CK9" s="158"/>
      <c r="CL9" s="158"/>
      <c r="CM9" s="158"/>
      <c r="CN9" s="158"/>
      <c r="CO9" s="158"/>
      <c r="CP9" s="158"/>
      <c r="CQ9" s="158"/>
      <c r="CR9" s="158"/>
      <c r="CS9" s="158"/>
      <c r="CT9" s="158"/>
      <c r="CU9" s="158"/>
      <c r="CV9" s="158"/>
      <c r="CW9" s="158"/>
      <c r="CX9" s="158"/>
      <c r="CY9" s="158"/>
      <c r="CZ9" s="158"/>
      <c r="DA9" s="158"/>
      <c r="DB9" s="158"/>
      <c r="DC9" s="158"/>
      <c r="DD9" s="158"/>
      <c r="DE9" s="158"/>
      <c r="DF9" s="158"/>
      <c r="DG9" s="158"/>
      <c r="DH9" s="41"/>
      <c r="DI9" s="41"/>
      <c r="DJ9" s="3"/>
      <c r="DK9" s="3"/>
      <c r="DL9" s="3"/>
      <c r="DM9" s="3"/>
    </row>
    <row r="10" ht="19.5" customHeight="1">
      <c r="A10" s="153" t="str">
        <f>'Pelan Pengambilan'!B8</f>
        <v>Pegawai Perubatan</v>
      </c>
      <c r="B10" s="154" t="str">
        <f>'Pelan Pengambilan'!C8</f>
        <v>UD10</v>
      </c>
      <c r="C10" s="153" t="str">
        <f t="array" ref="C10">IFERROR(IF(INDEX(Strategi!$F$5:$F$134,MATCH(LARGE(Strategi!$K$5:$K$134,3),Strategi!$K$5:$K$134,0))="","","("&amp;COUNTIFS('Pelan Pengambilan'!$B$6:$B$8,'Pelan Pengambilan'!$B8,'Pelan Pengambilan'!$C$6:$C$8,'Pelan Pengambilan'!$C8)&amp;") "&amp;INDEX(Strategi!$F$5:$F$134,MATCH(LARGE(Strategi!$K$5:$K$134,3),Strategi!$K$5:$K$134,0))),"")</f>
        <v>(2) Pengambilan baki 306 kelulusan pengisian dan kekosongan sedia ada menggantikan calon yang menolak tawaran lantikan tetap dibuat melalui iklan baharu pada November 2026.</v>
      </c>
      <c r="D10" s="155" t="s">
        <v>275</v>
      </c>
      <c r="E10" s="156">
        <f>IFERROR(IF(COUNT('Pelan Pengambilan'!H8,'Pelan Pengambilan'!J8,'Pelan Pengambilan'!L8,'Pelan Pengambilan'!N8,'Pelan Pengambilan'!P8,'Pelan Pengambilan'!R8,'Pelan Pengambilan'!T8,'Pelan Pengambilan'!V8,'Pelan Pengambilan'!X8,'Pelan Pengambilan'!Z8,'Pelan Pengambilan'!AB8,'Pelan Pengambilan'!AD8)=0,"",COUNT('Pelan Pengambilan'!I8,'Pelan Pengambilan'!K8,'Pelan Pengambilan'!M8,'Pelan Pengambilan'!O8,'Pelan Pengambilan'!Q8,'Pelan Pengambilan'!S8,'Pelan Pengambilan'!U8,'Pelan Pengambilan'!W8,'Pelan Pengambilan'!Y8,'Pelan Pengambilan'!AA8,'Pelan Pengambilan'!AC8,'Pelan Pengambilan'!AE8)/COUNT('Pelan Pengambilan'!H8,'Pelan Pengambilan'!J8,'Pelan Pengambilan'!L8,'Pelan Pengambilan'!N8,'Pelan Pengambilan'!P8,'Pelan Pengambilan'!R8,'Pelan Pengambilan'!T8,'Pelan Pengambilan'!V8,'Pelan Pengambilan'!X8,'Pelan Pengambilan'!Z8,'Pelan Pengambilan'!AB8,'Pelan Pengambilan'!AD8)),"")</f>
        <v>0</v>
      </c>
      <c r="F10" s="157" t="str">
        <f>IFERROR(IF('Pelan Pengambilan'!G8="","",'Pelan Pengambilan'!G8),"")</f>
        <v/>
      </c>
      <c r="G10" s="158"/>
      <c r="H10" s="158"/>
      <c r="I10" s="158"/>
      <c r="J10" s="158"/>
      <c r="K10" s="158"/>
      <c r="L10" s="158"/>
      <c r="M10" s="158"/>
      <c r="N10" s="158"/>
      <c r="O10" s="158"/>
      <c r="P10" s="158"/>
      <c r="Q10" s="158"/>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4">
        <f>'Pelan Pengambilan'!AF8</f>
        <v>306</v>
      </c>
      <c r="DI10" s="154"/>
      <c r="DJ10" s="159">
        <f>IFERROR(MIN('Pelan Pengambilan'!H8,'Pelan Pengambilan'!J8,'Pelan Pengambilan'!L8,'Pelan Pengambilan'!N8,'Pelan Pengambilan'!P8,'Pelan Pengambilan'!R8,'Pelan Pengambilan'!T8,'Pelan Pengambilan'!V8,'Pelan Pengambilan'!X8,'Pelan Pengambilan'!Z8,'Pelan Pengambilan'!AB8,'Pelan Pengambilan'!AD8),"")</f>
        <v>46328</v>
      </c>
      <c r="DK10" s="159">
        <f>IFERROR(MAX('Pelan Pengambilan'!H8,'Pelan Pengambilan'!J8,'Pelan Pengambilan'!L8,'Pelan Pengambilan'!N8,'Pelan Pengambilan'!P8,'Pelan Pengambilan'!R8,'Pelan Pengambilan'!T8,'Pelan Pengambilan'!V8,'Pelan Pengambilan'!X8,'Pelan Pengambilan'!Z8,'Pelan Pengambilan'!AB8,'Pelan Pengambilan'!AD8),"")</f>
        <v>46401</v>
      </c>
      <c r="DL10" s="3">
        <f>IFERROR(MIN('Pelan Pengambilan'!I8,'Pelan Pengambilan'!K8,'Pelan Pengambilan'!M8,'Pelan Pengambilan'!O8,'Pelan Pengambilan'!Q8,'Pelan Pengambilan'!S8,'Pelan Pengambilan'!U8,'Pelan Pengambilan'!W8,'Pelan Pengambilan'!Y8,'Pelan Pengambilan'!AA8,'Pelan Pengambilan'!AC8,'Pelan Pengambilan'!AE8),"")</f>
        <v>0</v>
      </c>
      <c r="DM10" s="3">
        <f>IFERROR(MAX('Pelan Pengambilan'!I8,'Pelan Pengambilan'!K8,'Pelan Pengambilan'!M8,'Pelan Pengambilan'!O8,'Pelan Pengambilan'!Q8,'Pelan Pengambilan'!S8,'Pelan Pengambilan'!U8,'Pelan Pengambilan'!W8,'Pelan Pengambilan'!Y8,'Pelan Pengambilan'!AA8,'Pelan Pengambilan'!AC8,'Pelan Pengambilan'!AE8),"")</f>
        <v>0</v>
      </c>
    </row>
    <row r="11" ht="19.5" customHeight="1">
      <c r="A11" s="41"/>
      <c r="B11" s="41"/>
      <c r="C11" s="41"/>
      <c r="D11" s="155" t="s">
        <v>276</v>
      </c>
      <c r="E11" s="41"/>
      <c r="F11" s="41"/>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158"/>
      <c r="CR11" s="158"/>
      <c r="CS11" s="158"/>
      <c r="CT11" s="158"/>
      <c r="CU11" s="158"/>
      <c r="CV11" s="158"/>
      <c r="CW11" s="158"/>
      <c r="CX11" s="158"/>
      <c r="CY11" s="158"/>
      <c r="CZ11" s="158"/>
      <c r="DA11" s="158"/>
      <c r="DB11" s="158"/>
      <c r="DC11" s="158"/>
      <c r="DD11" s="158"/>
      <c r="DE11" s="158"/>
      <c r="DF11" s="158"/>
      <c r="DG11" s="158"/>
      <c r="DH11" s="41"/>
      <c r="DI11" s="41"/>
      <c r="DJ11" s="3"/>
      <c r="DK11" s="3"/>
      <c r="DL11" s="3"/>
      <c r="DM11" s="3"/>
    </row>
    <row r="12" ht="19.5" customHeight="1">
      <c r="A12" s="153" t="str">
        <f>'Pelan Pengambilan'!B9</f>
        <v>Pegawai Pergigian</v>
      </c>
      <c r="B12" s="154" t="str">
        <f>'Pelan Pengambilan'!C9</f>
        <v>UG10</v>
      </c>
      <c r="C12" s="153" t="str">
        <f t="array" ref="C12">IFERROR(IF(INDEX(Strategi!$F$5:$F$134,MATCH(LARGE(Strategi!$K$5:$K$134,4),Strategi!$K$5:$K$134,0))="","","("&amp;COUNTIFS('Pelan Pengambilan'!$B$6:$B$9,'Pelan Pengambilan'!$B9,'Pelan Pengambilan'!$C$6:$C$9,'Pelan Pengambilan'!$C9)&amp;") "&amp;INDEX(Strategi!$F$5:$F$134,MATCH(LARGE(Strategi!$K$5:$K$134,4),Strategi!$K$5:$K$134,0))),"")</f>
        <v>(1) Pengambilan gred lantikan UG10 yang baharu akan diadakan pada November 2026 dengan cadangan lapor diri pada Februari 2027. </v>
      </c>
      <c r="D12" s="155" t="s">
        <v>275</v>
      </c>
      <c r="E12" s="156">
        <f>IFERROR(IF(COUNT('Pelan Pengambilan'!H9,'Pelan Pengambilan'!J9,'Pelan Pengambilan'!L9,'Pelan Pengambilan'!N9,'Pelan Pengambilan'!P9,'Pelan Pengambilan'!R9,'Pelan Pengambilan'!T9,'Pelan Pengambilan'!V9,'Pelan Pengambilan'!X9,'Pelan Pengambilan'!Z9,'Pelan Pengambilan'!AB9,'Pelan Pengambilan'!AD9)=0,"",COUNT('Pelan Pengambilan'!I9,'Pelan Pengambilan'!K9,'Pelan Pengambilan'!M9,'Pelan Pengambilan'!O9,'Pelan Pengambilan'!Q9,'Pelan Pengambilan'!S9,'Pelan Pengambilan'!U9,'Pelan Pengambilan'!W9,'Pelan Pengambilan'!Y9,'Pelan Pengambilan'!AA9,'Pelan Pengambilan'!AC9,'Pelan Pengambilan'!AE9)/COUNT('Pelan Pengambilan'!H9,'Pelan Pengambilan'!J9,'Pelan Pengambilan'!L9,'Pelan Pengambilan'!N9,'Pelan Pengambilan'!P9,'Pelan Pengambilan'!R9,'Pelan Pengambilan'!T9,'Pelan Pengambilan'!V9,'Pelan Pengambilan'!X9,'Pelan Pengambilan'!Z9,'Pelan Pengambilan'!AB9,'Pelan Pengambilan'!AD9)),"")</f>
        <v>0</v>
      </c>
      <c r="F12" s="157" t="str">
        <f>IFERROR(IF('Pelan Pengambilan'!G9="","",'Pelan Pengambilan'!G9),"")</f>
        <v/>
      </c>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c r="CR12" s="158"/>
      <c r="CS12" s="158"/>
      <c r="CT12" s="158"/>
      <c r="CU12" s="158"/>
      <c r="CV12" s="158"/>
      <c r="CW12" s="158"/>
      <c r="CX12" s="158"/>
      <c r="CY12" s="158"/>
      <c r="CZ12" s="158"/>
      <c r="DA12" s="158"/>
      <c r="DB12" s="158"/>
      <c r="DC12" s="158"/>
      <c r="DD12" s="158"/>
      <c r="DE12" s="158"/>
      <c r="DF12" s="158"/>
      <c r="DG12" s="158"/>
      <c r="DH12" s="154">
        <f>'Pelan Pengambilan'!AF9</f>
        <v>500</v>
      </c>
      <c r="DI12" s="154"/>
      <c r="DJ12" s="159">
        <f>IFERROR(MIN('Pelan Pengambilan'!H9,'Pelan Pengambilan'!J9,'Pelan Pengambilan'!L9,'Pelan Pengambilan'!N9,'Pelan Pengambilan'!P9,'Pelan Pengambilan'!R9,'Pelan Pengambilan'!T9,'Pelan Pengambilan'!V9,'Pelan Pengambilan'!X9,'Pelan Pengambilan'!Z9,'Pelan Pengambilan'!AB9,'Pelan Pengambilan'!AD9),"")</f>
        <v>46328</v>
      </c>
      <c r="DK12" s="159">
        <f>IFERROR(MAX('Pelan Pengambilan'!H9,'Pelan Pengambilan'!J9,'Pelan Pengambilan'!L9,'Pelan Pengambilan'!N9,'Pelan Pengambilan'!P9,'Pelan Pengambilan'!R9,'Pelan Pengambilan'!T9,'Pelan Pengambilan'!V9,'Pelan Pengambilan'!X9,'Pelan Pengambilan'!Z9,'Pelan Pengambilan'!AB9,'Pelan Pengambilan'!AD9),"")</f>
        <v>46401</v>
      </c>
      <c r="DL12" s="3">
        <f>IFERROR(MIN('Pelan Pengambilan'!I9,'Pelan Pengambilan'!K9,'Pelan Pengambilan'!M9,'Pelan Pengambilan'!O9,'Pelan Pengambilan'!Q9,'Pelan Pengambilan'!S9,'Pelan Pengambilan'!U9,'Pelan Pengambilan'!W9,'Pelan Pengambilan'!Y9,'Pelan Pengambilan'!AA9,'Pelan Pengambilan'!AC9,'Pelan Pengambilan'!AE9),"")</f>
        <v>0</v>
      </c>
      <c r="DM12" s="3">
        <f>IFERROR(MAX('Pelan Pengambilan'!I9,'Pelan Pengambilan'!K9,'Pelan Pengambilan'!M9,'Pelan Pengambilan'!O9,'Pelan Pengambilan'!Q9,'Pelan Pengambilan'!S9,'Pelan Pengambilan'!U9,'Pelan Pengambilan'!W9,'Pelan Pengambilan'!Y9,'Pelan Pengambilan'!AA9,'Pelan Pengambilan'!AC9,'Pelan Pengambilan'!AE9),"")</f>
        <v>0</v>
      </c>
    </row>
    <row r="13" ht="19.5" customHeight="1">
      <c r="A13" s="41"/>
      <c r="B13" s="41"/>
      <c r="C13" s="41"/>
      <c r="D13" s="155" t="s">
        <v>276</v>
      </c>
      <c r="E13" s="41"/>
      <c r="F13" s="41"/>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158"/>
      <c r="CR13" s="158"/>
      <c r="CS13" s="158"/>
      <c r="CT13" s="158"/>
      <c r="CU13" s="158"/>
      <c r="CV13" s="158"/>
      <c r="CW13" s="158"/>
      <c r="CX13" s="158"/>
      <c r="CY13" s="158"/>
      <c r="CZ13" s="158"/>
      <c r="DA13" s="158"/>
      <c r="DB13" s="158"/>
      <c r="DC13" s="158"/>
      <c r="DD13" s="158"/>
      <c r="DE13" s="158"/>
      <c r="DF13" s="158"/>
      <c r="DG13" s="158"/>
      <c r="DH13" s="41"/>
      <c r="DI13" s="41"/>
      <c r="DJ13" s="3"/>
      <c r="DK13" s="3"/>
      <c r="DL13" s="3"/>
      <c r="DM13" s="3"/>
    </row>
    <row r="14" ht="19.5" customHeight="1">
      <c r="A14" s="153" t="s">
        <v>35</v>
      </c>
      <c r="B14" s="154" t="s">
        <v>41</v>
      </c>
      <c r="C14" s="153" t="str">
        <f t="array" ref="C14">IFERROR(IF(INDEX(Strategi!$F$5:$F$134,MATCH(LARGE(Strategi!$K$5:$K$134,5),Strategi!$K$5:$K$134,0))="","","("&amp;COUNTIFS('Pelan Pengambilan'!$B$6:$B$10,'Pelan Pengambilan'!$B10,'Pelan Pengambilan'!$C$6:$C$10,'Pelan Pengambilan'!$C10)&amp;") "&amp;INDEX(Strategi!$F$5:$F$134,MATCH(LARGE(Strategi!$K$5:$K$134,5),Strategi!$K$5:$K$134,0))),"")</f>
        <v>(1) Pengisian melalui calon simpanan sebanyak 16 orang</v>
      </c>
      <c r="D14" s="155" t="s">
        <v>275</v>
      </c>
      <c r="E14" s="156">
        <f>IFERROR(IF(COUNT('Pelan Pengambilan'!H10,'Pelan Pengambilan'!J10,'Pelan Pengambilan'!L10,'Pelan Pengambilan'!N10,'Pelan Pengambilan'!P10,'Pelan Pengambilan'!R10,'Pelan Pengambilan'!T10,'Pelan Pengambilan'!V10,'Pelan Pengambilan'!X10,'Pelan Pengambilan'!Z10,'Pelan Pengambilan'!AB10,'Pelan Pengambilan'!AD10)=0,"",COUNT('Pelan Pengambilan'!I10,'Pelan Pengambilan'!K10,'Pelan Pengambilan'!M10,'Pelan Pengambilan'!O10,'Pelan Pengambilan'!Q10,'Pelan Pengambilan'!S10,'Pelan Pengambilan'!U10,'Pelan Pengambilan'!W10,'Pelan Pengambilan'!Y10,'Pelan Pengambilan'!AA10,'Pelan Pengambilan'!AC10,'Pelan Pengambilan'!AE10)/COUNT('Pelan Pengambilan'!H10,'Pelan Pengambilan'!J10,'Pelan Pengambilan'!L10,'Pelan Pengambilan'!N10,'Pelan Pengambilan'!P10,'Pelan Pengambilan'!R10,'Pelan Pengambilan'!T10,'Pelan Pengambilan'!V10,'Pelan Pengambilan'!X10,'Pelan Pengambilan'!Z10,'Pelan Pengambilan'!AB10,'Pelan Pengambilan'!AD10)),"")</f>
        <v>0</v>
      </c>
      <c r="F14" s="157" t="str">
        <f>IFERROR(IF('Pelan Pengambilan'!G10="","",'Pelan Pengambilan'!G10),"")</f>
        <v/>
      </c>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4">
        <f>'Pelan Pengambilan'!AF10</f>
        <v>4</v>
      </c>
      <c r="DI14" s="154"/>
      <c r="DJ14" s="159">
        <f>IFERROR(MIN('Pelan Pengambilan'!H10,'Pelan Pengambilan'!J10,'Pelan Pengambilan'!L10,'Pelan Pengambilan'!N10,'Pelan Pengambilan'!P10,'Pelan Pengambilan'!R10,'Pelan Pengambilan'!T10,'Pelan Pengambilan'!V10,'Pelan Pengambilan'!X10,'Pelan Pengambilan'!Z10,'Pelan Pengambilan'!AB10,'Pelan Pengambilan'!AD10),"")</f>
        <v>46181</v>
      </c>
      <c r="DK14" s="159">
        <f>IFERROR(MAX('Pelan Pengambilan'!H10,'Pelan Pengambilan'!J10,'Pelan Pengambilan'!L10,'Pelan Pengambilan'!N10,'Pelan Pengambilan'!P10,'Pelan Pengambilan'!R10,'Pelan Pengambilan'!T10,'Pelan Pengambilan'!V10,'Pelan Pengambilan'!X10,'Pelan Pengambilan'!Z10,'Pelan Pengambilan'!AB10,'Pelan Pengambilan'!AD10),"")</f>
        <v>46191</v>
      </c>
      <c r="DL14" s="3">
        <f>IFERROR(MIN('Pelan Pengambilan'!I10,'Pelan Pengambilan'!K10,'Pelan Pengambilan'!M10,'Pelan Pengambilan'!O10,'Pelan Pengambilan'!Q10,'Pelan Pengambilan'!S10,'Pelan Pengambilan'!U10,'Pelan Pengambilan'!W10,'Pelan Pengambilan'!Y10,'Pelan Pengambilan'!AA10,'Pelan Pengambilan'!AC10,'Pelan Pengambilan'!AE10),"")</f>
        <v>0</v>
      </c>
      <c r="DM14" s="3">
        <f>IFERROR(MAX('Pelan Pengambilan'!I10,'Pelan Pengambilan'!K10,'Pelan Pengambilan'!M10,'Pelan Pengambilan'!O10,'Pelan Pengambilan'!Q10,'Pelan Pengambilan'!S10,'Pelan Pengambilan'!U10,'Pelan Pengambilan'!W10,'Pelan Pengambilan'!Y10,'Pelan Pengambilan'!AA10,'Pelan Pengambilan'!AC10,'Pelan Pengambilan'!AE10),"")</f>
        <v>0</v>
      </c>
    </row>
    <row r="15" ht="19.5" customHeight="1">
      <c r="A15" s="41"/>
      <c r="B15" s="41"/>
      <c r="C15" s="41"/>
      <c r="D15" s="155" t="s">
        <v>276</v>
      </c>
      <c r="E15" s="41"/>
      <c r="F15" s="41"/>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c r="CD15" s="158"/>
      <c r="CE15" s="158"/>
      <c r="CF15" s="158"/>
      <c r="CG15" s="158"/>
      <c r="CH15" s="158"/>
      <c r="CI15" s="158"/>
      <c r="CJ15" s="158"/>
      <c r="CK15" s="158"/>
      <c r="CL15" s="158"/>
      <c r="CM15" s="158"/>
      <c r="CN15" s="158"/>
      <c r="CO15" s="158"/>
      <c r="CP15" s="158"/>
      <c r="CQ15" s="158"/>
      <c r="CR15" s="158"/>
      <c r="CS15" s="158"/>
      <c r="CT15" s="158"/>
      <c r="CU15" s="158"/>
      <c r="CV15" s="158"/>
      <c r="CW15" s="158"/>
      <c r="CX15" s="158"/>
      <c r="CY15" s="158"/>
      <c r="CZ15" s="158"/>
      <c r="DA15" s="158"/>
      <c r="DB15" s="158"/>
      <c r="DC15" s="158"/>
      <c r="DD15" s="158"/>
      <c r="DE15" s="158"/>
      <c r="DF15" s="158"/>
      <c r="DG15" s="158"/>
      <c r="DH15" s="41"/>
      <c r="DI15" s="41"/>
      <c r="DJ15" s="3"/>
      <c r="DK15" s="3"/>
      <c r="DL15" s="3"/>
      <c r="DM15" s="3"/>
    </row>
    <row r="16" ht="19.5" customHeight="1">
      <c r="A16" s="153" t="s">
        <v>44</v>
      </c>
      <c r="B16" s="154" t="s">
        <v>45</v>
      </c>
      <c r="C16" s="153" t="str">
        <f t="array" ref="C16">IFERROR(IF(INDEX(Strategi!$F$5:$F$134,MATCH(LARGE(Strategi!$K$5:$K$134,6),Strategi!$K$5:$K$134,0))="","","("&amp;COUNTIFS('Pelan Pengambilan'!$B$6:$B$11,'Pelan Pengambilan'!$B11,'Pelan Pengambilan'!$C$6:$C$11,'Pelan Pengambilan'!$C11)&amp;") "&amp;INDEX(Strategi!$F$5:$F$134,MATCH(LARGE(Strategi!$K$5:$K$134,6),Strategi!$K$5:$K$134,0))),"")</f>
        <v>(1) Pengambilan calon baharu</v>
      </c>
      <c r="D16" s="155" t="s">
        <v>275</v>
      </c>
      <c r="E16" s="156">
        <f>IFERROR(IF(COUNT('Pelan Pengambilan'!H11,'Pelan Pengambilan'!J11,'Pelan Pengambilan'!L11,'Pelan Pengambilan'!N11,'Pelan Pengambilan'!P11,'Pelan Pengambilan'!R11,'Pelan Pengambilan'!T11,'Pelan Pengambilan'!V11,'Pelan Pengambilan'!X11,'Pelan Pengambilan'!Z11,'Pelan Pengambilan'!AB11,'Pelan Pengambilan'!AD11)=0,"",COUNT('Pelan Pengambilan'!I11,'Pelan Pengambilan'!K11,'Pelan Pengambilan'!M11,'Pelan Pengambilan'!O11,'Pelan Pengambilan'!Q11,'Pelan Pengambilan'!S11,'Pelan Pengambilan'!U11,'Pelan Pengambilan'!W11,'Pelan Pengambilan'!Y11,'Pelan Pengambilan'!AA11,'Pelan Pengambilan'!AC11,'Pelan Pengambilan'!AE11)/COUNT('Pelan Pengambilan'!H11,'Pelan Pengambilan'!J11,'Pelan Pengambilan'!L11,'Pelan Pengambilan'!N11,'Pelan Pengambilan'!P11,'Pelan Pengambilan'!R11,'Pelan Pengambilan'!T11,'Pelan Pengambilan'!V11,'Pelan Pengambilan'!X11,'Pelan Pengambilan'!Z11,'Pelan Pengambilan'!AB11,'Pelan Pengambilan'!AD11)),"")</f>
        <v>0</v>
      </c>
      <c r="F16" s="157" t="str">
        <f>IFERROR(IF('Pelan Pengambilan'!G11="","",'Pelan Pengambilan'!G11),"")</f>
        <v/>
      </c>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c r="CR16" s="158"/>
      <c r="CS16" s="158"/>
      <c r="CT16" s="158"/>
      <c r="CU16" s="158"/>
      <c r="CV16" s="158"/>
      <c r="CW16" s="158"/>
      <c r="CX16" s="158"/>
      <c r="CY16" s="158"/>
      <c r="CZ16" s="158"/>
      <c r="DA16" s="158"/>
      <c r="DB16" s="158"/>
      <c r="DC16" s="158"/>
      <c r="DD16" s="158"/>
      <c r="DE16" s="158"/>
      <c r="DF16" s="158"/>
      <c r="DG16" s="158"/>
      <c r="DH16" s="154">
        <f>'Pelan Pengambilan'!AF11</f>
        <v>65</v>
      </c>
      <c r="DI16" s="154"/>
      <c r="DJ16" s="159">
        <f>IFERROR(MIN('Pelan Pengambilan'!H11,'Pelan Pengambilan'!J11,'Pelan Pengambilan'!L11,'Pelan Pengambilan'!N11,'Pelan Pengambilan'!P11,'Pelan Pengambilan'!R11,'Pelan Pengambilan'!T11,'Pelan Pengambilan'!V11,'Pelan Pengambilan'!X11,'Pelan Pengambilan'!Z11,'Pelan Pengambilan'!AB11,'Pelan Pengambilan'!AD11),"")</f>
        <v>46181</v>
      </c>
      <c r="DK16" s="159">
        <f>IFERROR(MAX('Pelan Pengambilan'!H11,'Pelan Pengambilan'!J11,'Pelan Pengambilan'!L11,'Pelan Pengambilan'!N11,'Pelan Pengambilan'!P11,'Pelan Pengambilan'!R11,'Pelan Pengambilan'!T11,'Pelan Pengambilan'!V11,'Pelan Pengambilan'!X11,'Pelan Pengambilan'!Z11,'Pelan Pengambilan'!AB11,'Pelan Pengambilan'!AD11),"")</f>
        <v>46191</v>
      </c>
      <c r="DL16" s="3">
        <f>IFERROR(MIN('Pelan Pengambilan'!I11,'Pelan Pengambilan'!K11,'Pelan Pengambilan'!M11,'Pelan Pengambilan'!O11,'Pelan Pengambilan'!Q11,'Pelan Pengambilan'!S11,'Pelan Pengambilan'!U11,'Pelan Pengambilan'!W11,'Pelan Pengambilan'!Y11,'Pelan Pengambilan'!AA11,'Pelan Pengambilan'!AC11,'Pelan Pengambilan'!AE11),"")</f>
        <v>0</v>
      </c>
      <c r="DM16" s="3">
        <f>IFERROR(MAX('Pelan Pengambilan'!I11,'Pelan Pengambilan'!K11,'Pelan Pengambilan'!M11,'Pelan Pengambilan'!O11,'Pelan Pengambilan'!Q11,'Pelan Pengambilan'!S11,'Pelan Pengambilan'!U11,'Pelan Pengambilan'!W11,'Pelan Pengambilan'!Y11,'Pelan Pengambilan'!AA11,'Pelan Pengambilan'!AC11,'Pelan Pengambilan'!AE11),"")</f>
        <v>0</v>
      </c>
    </row>
    <row r="17" ht="19.5" customHeight="1">
      <c r="A17" s="41"/>
      <c r="B17" s="41"/>
      <c r="C17" s="41"/>
      <c r="D17" s="155" t="s">
        <v>276</v>
      </c>
      <c r="E17" s="41"/>
      <c r="F17" s="41"/>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8"/>
      <c r="CY17" s="158"/>
      <c r="CZ17" s="158"/>
      <c r="DA17" s="158"/>
      <c r="DB17" s="158"/>
      <c r="DC17" s="158"/>
      <c r="DD17" s="158"/>
      <c r="DE17" s="158"/>
      <c r="DF17" s="158"/>
      <c r="DG17" s="158"/>
      <c r="DH17" s="41"/>
      <c r="DI17" s="41"/>
      <c r="DJ17" s="3"/>
      <c r="DK17" s="3"/>
      <c r="DL17" s="3"/>
      <c r="DM17" s="3"/>
    </row>
    <row r="18" ht="19.5" customHeight="1">
      <c r="A18" s="153"/>
      <c r="B18" s="154" t="str">
        <f>'Pelan Pengambilan'!C12</f>
        <v>U9</v>
      </c>
      <c r="C18" s="153" t="str">
        <f t="array" ref="C18">IFERROR(IF(INDEX(Strategi!$F$5:$F$134,MATCH(LARGE(Strategi!$K$5:$K$134,7),Strategi!$K$5:$K$134,0))="","","("&amp;COUNTIFS('Pelan Pengambilan'!$B$6:$B$12,'Pelan Pengambilan'!$B12,'Pelan Pengambilan'!$C$6:$C$12,'Pelan Pengambilan'!$C12)&amp;") "&amp;INDEX(Strategi!$F$5:$F$134,MATCH(LARGE(Strategi!$K$5:$K$134,7),Strategi!$K$5:$K$134,0))),"")</f>
        <v/>
      </c>
      <c r="D18" s="155" t="s">
        <v>275</v>
      </c>
      <c r="E18" s="156">
        <f>IFERROR(IF(COUNT('Pelan Pengambilan'!H12,'Pelan Pengambilan'!J12,'Pelan Pengambilan'!L12,'Pelan Pengambilan'!N12,'Pelan Pengambilan'!P12,'Pelan Pengambilan'!R12,'Pelan Pengambilan'!T12,'Pelan Pengambilan'!V12,'Pelan Pengambilan'!X12,'Pelan Pengambilan'!Z12,'Pelan Pengambilan'!AB12,'Pelan Pengambilan'!AD12)=0,"",COUNT('Pelan Pengambilan'!I12,'Pelan Pengambilan'!K12,'Pelan Pengambilan'!M12,'Pelan Pengambilan'!O12,'Pelan Pengambilan'!Q12,'Pelan Pengambilan'!S12,'Pelan Pengambilan'!U12,'Pelan Pengambilan'!W12,'Pelan Pengambilan'!Y12,'Pelan Pengambilan'!AA12,'Pelan Pengambilan'!AC12,'Pelan Pengambilan'!AE12)/COUNT('Pelan Pengambilan'!H12,'Pelan Pengambilan'!J12,'Pelan Pengambilan'!L12,'Pelan Pengambilan'!N12,'Pelan Pengambilan'!P12,'Pelan Pengambilan'!R12,'Pelan Pengambilan'!T12,'Pelan Pengambilan'!V12,'Pelan Pengambilan'!X12,'Pelan Pengambilan'!Z12,'Pelan Pengambilan'!AB12,'Pelan Pengambilan'!AD12)),"")</f>
        <v>0</v>
      </c>
      <c r="F18" s="157" t="str">
        <f>IFERROR(IF('Pelan Pengambilan'!G12="","",'Pelan Pengambilan'!G12),"")</f>
        <v/>
      </c>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158"/>
      <c r="CS18" s="158"/>
      <c r="CT18" s="158"/>
      <c r="CU18" s="158"/>
      <c r="CV18" s="158"/>
      <c r="CW18" s="158"/>
      <c r="CX18" s="158"/>
      <c r="CY18" s="158"/>
      <c r="CZ18" s="158"/>
      <c r="DA18" s="158"/>
      <c r="DB18" s="158"/>
      <c r="DC18" s="158"/>
      <c r="DD18" s="158"/>
      <c r="DE18" s="158"/>
      <c r="DF18" s="158"/>
      <c r="DG18" s="158"/>
      <c r="DH18" s="154">
        <f>'Pelan Pengambilan'!AF12</f>
        <v>65</v>
      </c>
      <c r="DI18" s="154"/>
      <c r="DJ18" s="159">
        <f>IFERROR(MIN('Pelan Pengambilan'!H12,'Pelan Pengambilan'!J12,'Pelan Pengambilan'!L12,'Pelan Pengambilan'!N12,'Pelan Pengambilan'!P12,'Pelan Pengambilan'!R12,'Pelan Pengambilan'!T12,'Pelan Pengambilan'!V12,'Pelan Pengambilan'!X12,'Pelan Pengambilan'!Z12,'Pelan Pengambilan'!AB12,'Pelan Pengambilan'!AD12),"")</f>
        <v>46181</v>
      </c>
      <c r="DK18" s="159">
        <f>IFERROR(MAX('Pelan Pengambilan'!H12,'Pelan Pengambilan'!J12,'Pelan Pengambilan'!L12,'Pelan Pengambilan'!N12,'Pelan Pengambilan'!P12,'Pelan Pengambilan'!R12,'Pelan Pengambilan'!T12,'Pelan Pengambilan'!V12,'Pelan Pengambilan'!X12,'Pelan Pengambilan'!Z12,'Pelan Pengambilan'!AB12,'Pelan Pengambilan'!AD12),"")</f>
        <v>46191</v>
      </c>
      <c r="DL18" s="3">
        <f>IFERROR(MIN('Pelan Pengambilan'!I12,'Pelan Pengambilan'!K12,'Pelan Pengambilan'!M12,'Pelan Pengambilan'!O12,'Pelan Pengambilan'!Q12,'Pelan Pengambilan'!S12,'Pelan Pengambilan'!U12,'Pelan Pengambilan'!W12,'Pelan Pengambilan'!Y12,'Pelan Pengambilan'!AA12,'Pelan Pengambilan'!AC12,'Pelan Pengambilan'!AE12),"")</f>
        <v>0</v>
      </c>
      <c r="DM18" s="3">
        <f>IFERROR(MAX('Pelan Pengambilan'!I12,'Pelan Pengambilan'!K12,'Pelan Pengambilan'!M12,'Pelan Pengambilan'!O12,'Pelan Pengambilan'!Q12,'Pelan Pengambilan'!S12,'Pelan Pengambilan'!U12,'Pelan Pengambilan'!W12,'Pelan Pengambilan'!Y12,'Pelan Pengambilan'!AA12,'Pelan Pengambilan'!AC12,'Pelan Pengambilan'!AE12),"")</f>
        <v>0</v>
      </c>
    </row>
    <row r="19" ht="19.5" customHeight="1">
      <c r="A19" s="41"/>
      <c r="B19" s="41"/>
      <c r="C19" s="41"/>
      <c r="D19" s="155" t="s">
        <v>276</v>
      </c>
      <c r="E19" s="41"/>
      <c r="F19" s="41"/>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c r="CS19" s="158"/>
      <c r="CT19" s="158"/>
      <c r="CU19" s="158"/>
      <c r="CV19" s="158"/>
      <c r="CW19" s="158"/>
      <c r="CX19" s="158"/>
      <c r="CY19" s="158"/>
      <c r="CZ19" s="158"/>
      <c r="DA19" s="158"/>
      <c r="DB19" s="158"/>
      <c r="DC19" s="158"/>
      <c r="DD19" s="158"/>
      <c r="DE19" s="158"/>
      <c r="DF19" s="158"/>
      <c r="DG19" s="158"/>
      <c r="DH19" s="41"/>
      <c r="DI19" s="41"/>
      <c r="DJ19" s="3"/>
      <c r="DK19" s="3"/>
      <c r="DL19" s="3"/>
      <c r="DM19" s="3"/>
    </row>
    <row r="20" ht="19.5" customHeight="1">
      <c r="A20" s="153" t="str">
        <f>'Pelan Pengambilan'!B13</f>
        <v>Pegawai Pemulihan Perubatan (Fisioterapi)</v>
      </c>
      <c r="B20" s="154" t="str">
        <f>'Pelan Pengambilan'!C13</f>
        <v>U9</v>
      </c>
      <c r="C20" s="153" t="s">
        <v>277</v>
      </c>
      <c r="D20" s="155" t="s">
        <v>275</v>
      </c>
      <c r="E20" s="156">
        <f>IFERROR(IF(COUNT('Pelan Pengambilan'!H13,'Pelan Pengambilan'!J13,'Pelan Pengambilan'!L13,'Pelan Pengambilan'!N13,'Pelan Pengambilan'!P13,'Pelan Pengambilan'!R13,'Pelan Pengambilan'!T13,'Pelan Pengambilan'!V13,'Pelan Pengambilan'!X13,'Pelan Pengambilan'!Z13,'Pelan Pengambilan'!AB13,'Pelan Pengambilan'!AD13)=0,"",COUNT('Pelan Pengambilan'!I13,'Pelan Pengambilan'!K13,'Pelan Pengambilan'!M13,'Pelan Pengambilan'!O13,'Pelan Pengambilan'!Q13,'Pelan Pengambilan'!S13,'Pelan Pengambilan'!U13,'Pelan Pengambilan'!W13,'Pelan Pengambilan'!Y13,'Pelan Pengambilan'!AA13,'Pelan Pengambilan'!AC13,'Pelan Pengambilan'!AE13)/COUNT('Pelan Pengambilan'!H13,'Pelan Pengambilan'!J13,'Pelan Pengambilan'!L13,'Pelan Pengambilan'!N13,'Pelan Pengambilan'!P13,'Pelan Pengambilan'!R13,'Pelan Pengambilan'!T13,'Pelan Pengambilan'!V13,'Pelan Pengambilan'!X13,'Pelan Pengambilan'!Z13,'Pelan Pengambilan'!AB13,'Pelan Pengambilan'!AD13)),"")</f>
        <v>0</v>
      </c>
      <c r="F20" s="157" t="str">
        <f>IFERROR(IF('Pelan Pengambilan'!G13="","",'Pelan Pengambilan'!G13),"")</f>
        <v/>
      </c>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c r="CS20" s="158"/>
      <c r="CT20" s="158"/>
      <c r="CU20" s="158"/>
      <c r="CV20" s="158"/>
      <c r="CW20" s="158"/>
      <c r="CX20" s="158"/>
      <c r="CY20" s="158"/>
      <c r="CZ20" s="158"/>
      <c r="DA20" s="158"/>
      <c r="DB20" s="158"/>
      <c r="DC20" s="158"/>
      <c r="DD20" s="158"/>
      <c r="DE20" s="158"/>
      <c r="DF20" s="158"/>
      <c r="DG20" s="158"/>
      <c r="DH20" s="154">
        <f>'Pelan Pengambilan'!AF13</f>
        <v>65</v>
      </c>
      <c r="DI20" s="154"/>
      <c r="DJ20" s="159">
        <f>IFERROR(MIN('Pelan Pengambilan'!H13,'Pelan Pengambilan'!J13,'Pelan Pengambilan'!L13,'Pelan Pengambilan'!N13,'Pelan Pengambilan'!P13,'Pelan Pengambilan'!R13,'Pelan Pengambilan'!T13,'Pelan Pengambilan'!V13,'Pelan Pengambilan'!X13,'Pelan Pengambilan'!Z13,'Pelan Pengambilan'!AB13,'Pelan Pengambilan'!AD13),"")</f>
        <v>46181</v>
      </c>
      <c r="DK20" s="159">
        <f>IFERROR(MAX('Pelan Pengambilan'!H13,'Pelan Pengambilan'!J13,'Pelan Pengambilan'!L13,'Pelan Pengambilan'!N13,'Pelan Pengambilan'!P13,'Pelan Pengambilan'!R13,'Pelan Pengambilan'!T13,'Pelan Pengambilan'!V13,'Pelan Pengambilan'!X13,'Pelan Pengambilan'!Z13,'Pelan Pengambilan'!AB13,'Pelan Pengambilan'!AD13),"")</f>
        <v>46191</v>
      </c>
      <c r="DL20" s="3">
        <f>IFERROR(MIN('Pelan Pengambilan'!I13,'Pelan Pengambilan'!K13,'Pelan Pengambilan'!M13,'Pelan Pengambilan'!O13,'Pelan Pengambilan'!Q13,'Pelan Pengambilan'!S13,'Pelan Pengambilan'!U13,'Pelan Pengambilan'!W13,'Pelan Pengambilan'!Y13,'Pelan Pengambilan'!AA13,'Pelan Pengambilan'!AC13,'Pelan Pengambilan'!AE13),"")</f>
        <v>0</v>
      </c>
      <c r="DM20" s="3">
        <f>IFERROR(MAX('Pelan Pengambilan'!I13,'Pelan Pengambilan'!K13,'Pelan Pengambilan'!M13,'Pelan Pengambilan'!O13,'Pelan Pengambilan'!Q13,'Pelan Pengambilan'!S13,'Pelan Pengambilan'!U13,'Pelan Pengambilan'!W13,'Pelan Pengambilan'!Y13,'Pelan Pengambilan'!AA13,'Pelan Pengambilan'!AC13,'Pelan Pengambilan'!AE13),"")</f>
        <v>0</v>
      </c>
    </row>
    <row r="21" ht="19.5" customHeight="1">
      <c r="A21" s="41"/>
      <c r="B21" s="41"/>
      <c r="C21" s="41"/>
      <c r="D21" s="155" t="s">
        <v>276</v>
      </c>
      <c r="E21" s="41"/>
      <c r="F21" s="41"/>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158"/>
      <c r="DC21" s="158"/>
      <c r="DD21" s="158"/>
      <c r="DE21" s="158"/>
      <c r="DF21" s="158"/>
      <c r="DG21" s="158"/>
      <c r="DH21" s="41"/>
      <c r="DI21" s="41"/>
      <c r="DJ21" s="3"/>
      <c r="DK21" s="3"/>
      <c r="DL21" s="3"/>
      <c r="DM21" s="3"/>
    </row>
    <row r="22" ht="19.5" customHeight="1">
      <c r="A22" s="153" t="str">
        <f>'Pelan Pengambilan'!B14</f>
        <v>Pegawai Pemulihan Perubatan (Cara Kerja)</v>
      </c>
      <c r="B22" s="154" t="str">
        <f>'Pelan Pengambilan'!C14</f>
        <v>U9</v>
      </c>
      <c r="C22" s="153" t="s">
        <v>277</v>
      </c>
      <c r="D22" s="155" t="s">
        <v>275</v>
      </c>
      <c r="E22" s="156">
        <f>IFERROR(IF(COUNT('Pelan Pengambilan'!H14,'Pelan Pengambilan'!J14,'Pelan Pengambilan'!L14,'Pelan Pengambilan'!N14,'Pelan Pengambilan'!P14,'Pelan Pengambilan'!R14,'Pelan Pengambilan'!T14,'Pelan Pengambilan'!V14,'Pelan Pengambilan'!X14,'Pelan Pengambilan'!Z14,'Pelan Pengambilan'!AB14,'Pelan Pengambilan'!AD14)=0,"",COUNT('Pelan Pengambilan'!I14,'Pelan Pengambilan'!K14,'Pelan Pengambilan'!M14,'Pelan Pengambilan'!O14,'Pelan Pengambilan'!Q14,'Pelan Pengambilan'!S14,'Pelan Pengambilan'!U14,'Pelan Pengambilan'!W14,'Pelan Pengambilan'!Y14,'Pelan Pengambilan'!AA14,'Pelan Pengambilan'!AC14,'Pelan Pengambilan'!AE14)/COUNT('Pelan Pengambilan'!H14,'Pelan Pengambilan'!J14,'Pelan Pengambilan'!L14,'Pelan Pengambilan'!N14,'Pelan Pengambilan'!P14,'Pelan Pengambilan'!R14,'Pelan Pengambilan'!T14,'Pelan Pengambilan'!V14,'Pelan Pengambilan'!X14,'Pelan Pengambilan'!Z14,'Pelan Pengambilan'!AB14,'Pelan Pengambilan'!AD14)),"")</f>
        <v>0</v>
      </c>
      <c r="F22" s="157" t="str">
        <f>IFERROR(IF('Pelan Pengambilan'!G14="","",'Pelan Pengambilan'!G14),"")</f>
        <v/>
      </c>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158"/>
      <c r="CS22" s="158"/>
      <c r="CT22" s="158"/>
      <c r="CU22" s="158"/>
      <c r="CV22" s="158"/>
      <c r="CW22" s="158"/>
      <c r="CX22" s="158"/>
      <c r="CY22" s="158"/>
      <c r="CZ22" s="158"/>
      <c r="DA22" s="158"/>
      <c r="DB22" s="158"/>
      <c r="DC22" s="158"/>
      <c r="DD22" s="158"/>
      <c r="DE22" s="158"/>
      <c r="DF22" s="158"/>
      <c r="DG22" s="158"/>
      <c r="DH22" s="154">
        <f>'Pelan Pengambilan'!AF14</f>
        <v>65</v>
      </c>
      <c r="DI22" s="154"/>
      <c r="DJ22" s="159">
        <f>IFERROR(MIN('Pelan Pengambilan'!H14,'Pelan Pengambilan'!J14,'Pelan Pengambilan'!L14,'Pelan Pengambilan'!N14,'Pelan Pengambilan'!P14,'Pelan Pengambilan'!R14,'Pelan Pengambilan'!T14,'Pelan Pengambilan'!V14,'Pelan Pengambilan'!X14,'Pelan Pengambilan'!Z14,'Pelan Pengambilan'!AB14,'Pelan Pengambilan'!AD14),"")</f>
        <v>46181</v>
      </c>
      <c r="DK22" s="159">
        <f>IFERROR(MAX('Pelan Pengambilan'!H14,'Pelan Pengambilan'!J14,'Pelan Pengambilan'!L14,'Pelan Pengambilan'!N14,'Pelan Pengambilan'!P14,'Pelan Pengambilan'!R14,'Pelan Pengambilan'!T14,'Pelan Pengambilan'!V14,'Pelan Pengambilan'!X14,'Pelan Pengambilan'!Z14,'Pelan Pengambilan'!AB14,'Pelan Pengambilan'!AD14),"")</f>
        <v>46191</v>
      </c>
      <c r="DL22" s="3">
        <f>IFERROR(MIN('Pelan Pengambilan'!I14,'Pelan Pengambilan'!K14,'Pelan Pengambilan'!M14,'Pelan Pengambilan'!O14,'Pelan Pengambilan'!Q14,'Pelan Pengambilan'!S14,'Pelan Pengambilan'!U14,'Pelan Pengambilan'!W14,'Pelan Pengambilan'!Y14,'Pelan Pengambilan'!AA14,'Pelan Pengambilan'!AC14,'Pelan Pengambilan'!AE14),"")</f>
        <v>0</v>
      </c>
      <c r="DM22" s="3">
        <f>IFERROR(MAX('Pelan Pengambilan'!I14,'Pelan Pengambilan'!K14,'Pelan Pengambilan'!M14,'Pelan Pengambilan'!O14,'Pelan Pengambilan'!Q14,'Pelan Pengambilan'!S14,'Pelan Pengambilan'!U14,'Pelan Pengambilan'!W14,'Pelan Pengambilan'!Y14,'Pelan Pengambilan'!AA14,'Pelan Pengambilan'!AC14,'Pelan Pengambilan'!AE14),"")</f>
        <v>0</v>
      </c>
    </row>
    <row r="23" ht="19.5" customHeight="1">
      <c r="A23" s="41"/>
      <c r="B23" s="41"/>
      <c r="C23" s="41"/>
      <c r="D23" s="155" t="s">
        <v>276</v>
      </c>
      <c r="E23" s="41"/>
      <c r="F23" s="41"/>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c r="CS23" s="158"/>
      <c r="CT23" s="158"/>
      <c r="CU23" s="158"/>
      <c r="CV23" s="158"/>
      <c r="CW23" s="158"/>
      <c r="CX23" s="158"/>
      <c r="CY23" s="158"/>
      <c r="CZ23" s="158"/>
      <c r="DA23" s="158"/>
      <c r="DB23" s="158"/>
      <c r="DC23" s="158"/>
      <c r="DD23" s="158"/>
      <c r="DE23" s="158"/>
      <c r="DF23" s="158"/>
      <c r="DG23" s="158"/>
      <c r="DH23" s="41"/>
      <c r="DI23" s="41"/>
      <c r="DJ23" s="3"/>
      <c r="DK23" s="3"/>
      <c r="DL23" s="3"/>
      <c r="DM23" s="3"/>
    </row>
    <row r="24" ht="19.5" customHeight="1">
      <c r="A24" s="153" t="str">
        <f>'Pelan Pengambilan'!B15</f>
        <v>Pengajar (Jururawat)</v>
      </c>
      <c r="B24" s="154" t="str">
        <f>'Pelan Pengambilan'!C15</f>
        <v>U9</v>
      </c>
      <c r="C24" s="153" t="str">
        <f t="array" ref="C24">IFERROR(IF(INDEX(Strategi!$F$5:$F$134,MATCH(LARGE(Strategi!$K$5:$K$134,10),Strategi!$K$5:$K$134,0))="","","("&amp;COUNTIFS('Pelan Pengambilan'!$B$6:$B$15,'Pelan Pengambilan'!$B15,'Pelan Pengambilan'!$C$6:$C$15,'Pelan Pengambilan'!$C15)&amp;") "&amp;INDEX(Strategi!$F$5:$F$134,MATCH(LARGE(Strategi!$K$5:$K$134,10),Strategi!$K$5:$K$134,0))),"")</f>
        <v/>
      </c>
      <c r="D24" s="155" t="s">
        <v>275</v>
      </c>
      <c r="E24" s="156">
        <f>IFERROR(IF(COUNT('Pelan Pengambilan'!H15,'Pelan Pengambilan'!J15,'Pelan Pengambilan'!L15,'Pelan Pengambilan'!N15,'Pelan Pengambilan'!P15,'Pelan Pengambilan'!R15,'Pelan Pengambilan'!T15,'Pelan Pengambilan'!V15,'Pelan Pengambilan'!X15,'Pelan Pengambilan'!Z15,'Pelan Pengambilan'!AB15,'Pelan Pengambilan'!AD15)=0,"",COUNT('Pelan Pengambilan'!I15,'Pelan Pengambilan'!K15,'Pelan Pengambilan'!M15,'Pelan Pengambilan'!O15,'Pelan Pengambilan'!Q15,'Pelan Pengambilan'!S15,'Pelan Pengambilan'!U15,'Pelan Pengambilan'!W15,'Pelan Pengambilan'!Y15,'Pelan Pengambilan'!AA15,'Pelan Pengambilan'!AC15,'Pelan Pengambilan'!AE15)/COUNT('Pelan Pengambilan'!H15,'Pelan Pengambilan'!J15,'Pelan Pengambilan'!L15,'Pelan Pengambilan'!N15,'Pelan Pengambilan'!P15,'Pelan Pengambilan'!R15,'Pelan Pengambilan'!T15,'Pelan Pengambilan'!V15,'Pelan Pengambilan'!X15,'Pelan Pengambilan'!Z15,'Pelan Pengambilan'!AB15,'Pelan Pengambilan'!AD15)),"")</f>
        <v>0</v>
      </c>
      <c r="F24" s="157" t="str">
        <f>IFERROR(IF('Pelan Pengambilan'!G15="","",'Pelan Pengambilan'!G15),"")</f>
        <v/>
      </c>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4">
        <f>'Pelan Pengambilan'!AF15</f>
        <v>13</v>
      </c>
      <c r="DI24" s="154"/>
      <c r="DJ24" s="159">
        <f>IFERROR(MIN('Pelan Pengambilan'!H15,'Pelan Pengambilan'!J15,'Pelan Pengambilan'!L15,'Pelan Pengambilan'!N15,'Pelan Pengambilan'!P15,'Pelan Pengambilan'!R15,'Pelan Pengambilan'!T15,'Pelan Pengambilan'!V15,'Pelan Pengambilan'!X15,'Pelan Pengambilan'!Z15,'Pelan Pengambilan'!AB15,'Pelan Pengambilan'!AD15),"")</f>
        <v>46181</v>
      </c>
      <c r="DK24" s="159">
        <f>IFERROR(MAX('Pelan Pengambilan'!H15,'Pelan Pengambilan'!J15,'Pelan Pengambilan'!L15,'Pelan Pengambilan'!N15,'Pelan Pengambilan'!P15,'Pelan Pengambilan'!R15,'Pelan Pengambilan'!T15,'Pelan Pengambilan'!V15,'Pelan Pengambilan'!X15,'Pelan Pengambilan'!Z15,'Pelan Pengambilan'!AB15,'Pelan Pengambilan'!AD15),"")</f>
        <v>46235</v>
      </c>
      <c r="DL24" s="159">
        <f>IFERROR(MIN('Pelan Pengambilan'!I15,'Pelan Pengambilan'!K15,'Pelan Pengambilan'!M15,'Pelan Pengambilan'!O15,'Pelan Pengambilan'!Q15,'Pelan Pengambilan'!S15,'Pelan Pengambilan'!U15,'Pelan Pengambilan'!W15,'Pelan Pengambilan'!Y15,'Pelan Pengambilan'!AA15,'Pelan Pengambilan'!AC15,'Pelan Pengambilan'!AE15),"")</f>
        <v>0</v>
      </c>
      <c r="DM24" s="159">
        <f>IFERROR(MAX('Pelan Pengambilan'!I15,'Pelan Pengambilan'!K15,'Pelan Pengambilan'!M15,'Pelan Pengambilan'!O15,'Pelan Pengambilan'!Q15,'Pelan Pengambilan'!S15,'Pelan Pengambilan'!U15,'Pelan Pengambilan'!W15,'Pelan Pengambilan'!Y15,'Pelan Pengambilan'!AA15,'Pelan Pengambilan'!AC15,'Pelan Pengambilan'!AE15),"")</f>
        <v>0</v>
      </c>
    </row>
    <row r="25" ht="19.5" customHeight="1">
      <c r="A25" s="41"/>
      <c r="B25" s="41"/>
      <c r="C25" s="41"/>
      <c r="D25" s="155" t="s">
        <v>276</v>
      </c>
      <c r="E25" s="41"/>
      <c r="F25" s="41"/>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41"/>
      <c r="DI25" s="41"/>
      <c r="DJ25" s="3"/>
      <c r="DK25" s="3"/>
      <c r="DL25" s="3"/>
      <c r="DM25" s="3"/>
    </row>
    <row r="26" ht="19.5" customHeight="1">
      <c r="A26" s="153" t="str">
        <f>'Pelan Pengambilan'!B16</f>
        <v>Pengajar (Penolong Pegawai Perubatan)</v>
      </c>
      <c r="B26" s="154" t="str">
        <f>'Pelan Pengambilan'!C16</f>
        <v>U9</v>
      </c>
      <c r="C26" s="153" t="str">
        <f t="array" ref="C26">IFERROR(IF(INDEX(Strategi!$F$5:$F$134,MATCH(LARGE(Strategi!$K$5:$K$134,11),Strategi!$K$5:$K$134,0))="","","("&amp;COUNTIFS('Pelan Pengambilan'!$B$6:$B$16,'Pelan Pengambilan'!$B16,'Pelan Pengambilan'!$C$6:$C$16,'Pelan Pengambilan'!$C16)&amp;") "&amp;INDEX(Strategi!$F$5:$F$134,MATCH(LARGE(Strategi!$K$5:$K$134,11),Strategi!$K$5:$K$134,0))),"")</f>
        <v/>
      </c>
      <c r="D26" s="155" t="s">
        <v>275</v>
      </c>
      <c r="E26" s="156">
        <f>IFERROR(IF(COUNT('Pelan Pengambilan'!H16,'Pelan Pengambilan'!J16,'Pelan Pengambilan'!L16,'Pelan Pengambilan'!N16,'Pelan Pengambilan'!P16,'Pelan Pengambilan'!R16,'Pelan Pengambilan'!T16,'Pelan Pengambilan'!V16,'Pelan Pengambilan'!X16,'Pelan Pengambilan'!Z16,'Pelan Pengambilan'!AB16,'Pelan Pengambilan'!AD16)=0,"",COUNT('Pelan Pengambilan'!I16,'Pelan Pengambilan'!K16,'Pelan Pengambilan'!M16,'Pelan Pengambilan'!O16,'Pelan Pengambilan'!Q16,'Pelan Pengambilan'!S16,'Pelan Pengambilan'!U16,'Pelan Pengambilan'!W16,'Pelan Pengambilan'!Y16,'Pelan Pengambilan'!AA16,'Pelan Pengambilan'!AC16,'Pelan Pengambilan'!AE16)/COUNT('Pelan Pengambilan'!H16,'Pelan Pengambilan'!J16,'Pelan Pengambilan'!L16,'Pelan Pengambilan'!N16,'Pelan Pengambilan'!P16,'Pelan Pengambilan'!R16,'Pelan Pengambilan'!T16,'Pelan Pengambilan'!V16,'Pelan Pengambilan'!X16,'Pelan Pengambilan'!Z16,'Pelan Pengambilan'!AB16,'Pelan Pengambilan'!AD16)),"")</f>
        <v>0</v>
      </c>
      <c r="F26" s="157" t="str">
        <f>IFERROR(IF('Pelan Pengambilan'!G16="","",'Pelan Pengambilan'!G16),"")</f>
        <v/>
      </c>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4">
        <f>'Pelan Pengambilan'!AF16</f>
        <v>10</v>
      </c>
      <c r="DI26" s="154"/>
      <c r="DJ26" s="159">
        <f>IFERROR(MIN('Pelan Pengambilan'!H16,'Pelan Pengambilan'!J16,'Pelan Pengambilan'!L16,'Pelan Pengambilan'!N16,'Pelan Pengambilan'!P16,'Pelan Pengambilan'!R16,'Pelan Pengambilan'!T16,'Pelan Pengambilan'!V16,'Pelan Pengambilan'!X16,'Pelan Pengambilan'!Z16,'Pelan Pengambilan'!AB16,'Pelan Pengambilan'!AD16),"")</f>
        <v>46181</v>
      </c>
      <c r="DK26" s="159">
        <f>IFERROR(MAX('Pelan Pengambilan'!H16,'Pelan Pengambilan'!J16,'Pelan Pengambilan'!L16,'Pelan Pengambilan'!N16,'Pelan Pengambilan'!P16,'Pelan Pengambilan'!R16,'Pelan Pengambilan'!T16,'Pelan Pengambilan'!V16,'Pelan Pengambilan'!X16,'Pelan Pengambilan'!Z16,'Pelan Pengambilan'!AB16,'Pelan Pengambilan'!AD16),"")</f>
        <v>46235</v>
      </c>
      <c r="DL26" s="3">
        <f>IFERROR(MIN('Pelan Pengambilan'!I16,'Pelan Pengambilan'!K16,'Pelan Pengambilan'!M16,'Pelan Pengambilan'!O16,'Pelan Pengambilan'!Q16,'Pelan Pengambilan'!S16,'Pelan Pengambilan'!U16,'Pelan Pengambilan'!W16,'Pelan Pengambilan'!Y16,'Pelan Pengambilan'!AA16,'Pelan Pengambilan'!AC16,'Pelan Pengambilan'!AE16),"")</f>
        <v>0</v>
      </c>
      <c r="DM26" s="3">
        <f>IFERROR(MAX('Pelan Pengambilan'!I16,'Pelan Pengambilan'!K16,'Pelan Pengambilan'!M16,'Pelan Pengambilan'!O16,'Pelan Pengambilan'!Q16,'Pelan Pengambilan'!S16,'Pelan Pengambilan'!U16,'Pelan Pengambilan'!W16,'Pelan Pengambilan'!Y16,'Pelan Pengambilan'!AA16,'Pelan Pengambilan'!AC16,'Pelan Pengambilan'!AE16),"")</f>
        <v>0</v>
      </c>
    </row>
    <row r="27" ht="19.5" customHeight="1">
      <c r="A27" s="41"/>
      <c r="B27" s="41"/>
      <c r="C27" s="41"/>
      <c r="D27" s="155" t="s">
        <v>276</v>
      </c>
      <c r="E27" s="41"/>
      <c r="F27" s="41"/>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41"/>
      <c r="DI27" s="41"/>
      <c r="DJ27" s="3"/>
      <c r="DK27" s="3"/>
      <c r="DL27" s="3"/>
      <c r="DM27" s="3"/>
    </row>
    <row r="28" ht="19.5" customHeight="1">
      <c r="A28" s="153" t="str">
        <f>'Pelan Pengambilan'!B17</f>
        <v>Jururawat </v>
      </c>
      <c r="B28" s="154" t="str">
        <f>'Pelan Pengambilan'!C17</f>
        <v>U9</v>
      </c>
      <c r="C28" s="153" t="str">
        <f t="array" ref="C28">IFERROR(IF(INDEX(Strategi!$F$5:$F$134,MATCH(LARGE(Strategi!$K$5:$K$134,12),Strategi!$K$5:$K$134,0))="","","("&amp;COUNTIFS('Pelan Pengambilan'!$B$6:$B$17,'Pelan Pengambilan'!$B17,'Pelan Pengambilan'!$C$6:$C$17,'Pelan Pengambilan'!$C17)&amp;") "&amp;INDEX(Strategi!$F$5:$F$134,MATCH(LARGE(Strategi!$K$5:$K$134,12),Strategi!$K$5:$K$134,0))),"")</f>
        <v>(1) (1) Pengisian melalui calon simpanan sebanyak 59 orang
</v>
      </c>
      <c r="D28" s="155" t="s">
        <v>275</v>
      </c>
      <c r="E28" s="156">
        <f>IFERROR(IF(COUNT('Pelan Pengambilan'!H17,'Pelan Pengambilan'!J17,'Pelan Pengambilan'!L17,'Pelan Pengambilan'!N17,'Pelan Pengambilan'!P17,'Pelan Pengambilan'!R17,'Pelan Pengambilan'!T17,'Pelan Pengambilan'!V17,'Pelan Pengambilan'!X17,'Pelan Pengambilan'!Z17,'Pelan Pengambilan'!AB17,'Pelan Pengambilan'!AD17)=0,"",COUNT('Pelan Pengambilan'!I17,'Pelan Pengambilan'!K17,'Pelan Pengambilan'!M17,'Pelan Pengambilan'!O17,'Pelan Pengambilan'!Q17,'Pelan Pengambilan'!S17,'Pelan Pengambilan'!U17,'Pelan Pengambilan'!W17,'Pelan Pengambilan'!Y17,'Pelan Pengambilan'!AA17,'Pelan Pengambilan'!AC17,'Pelan Pengambilan'!AE17)/COUNT('Pelan Pengambilan'!H17,'Pelan Pengambilan'!J17,'Pelan Pengambilan'!L17,'Pelan Pengambilan'!N17,'Pelan Pengambilan'!P17,'Pelan Pengambilan'!R17,'Pelan Pengambilan'!T17,'Pelan Pengambilan'!V17,'Pelan Pengambilan'!X17,'Pelan Pengambilan'!Z17,'Pelan Pengambilan'!AB17,'Pelan Pengambilan'!AD17)),"")</f>
        <v>0.25</v>
      </c>
      <c r="F28" s="157" t="str">
        <f>IFERROR(IF('Pelan Pengambilan'!G17="","",'Pelan Pengambilan'!G17),"")</f>
        <v>P1: Permohonan e-Pengisian</v>
      </c>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4">
        <f>'Pelan Pengambilan'!AF17</f>
        <v>59</v>
      </c>
      <c r="DI28" s="154"/>
      <c r="DJ28" s="159">
        <f>IFERROR(MIN('Pelan Pengambilan'!H17,'Pelan Pengambilan'!J17,'Pelan Pengambilan'!L17,'Pelan Pengambilan'!N17,'Pelan Pengambilan'!P17,'Pelan Pengambilan'!R17,'Pelan Pengambilan'!T17,'Pelan Pengambilan'!V17,'Pelan Pengambilan'!X17,'Pelan Pengambilan'!Z17,'Pelan Pengambilan'!AB17,'Pelan Pengambilan'!AD17),"")</f>
        <v>46148</v>
      </c>
      <c r="DK28" s="159">
        <f>IFERROR(MAX('Pelan Pengambilan'!H17,'Pelan Pengambilan'!J17,'Pelan Pengambilan'!L17,'Pelan Pengambilan'!N17,'Pelan Pengambilan'!P17,'Pelan Pengambilan'!R17,'Pelan Pengambilan'!T17,'Pelan Pengambilan'!V17,'Pelan Pengambilan'!X17,'Pelan Pengambilan'!Z17,'Pelan Pengambilan'!AB17,'Pelan Pengambilan'!AD17),"")</f>
        <v>46191</v>
      </c>
      <c r="DL28" s="159">
        <f>IFERROR(MIN('Pelan Pengambilan'!I17,'Pelan Pengambilan'!K17,'Pelan Pengambilan'!M17,'Pelan Pengambilan'!O17,'Pelan Pengambilan'!Q17,'Pelan Pengambilan'!S17,'Pelan Pengambilan'!U17,'Pelan Pengambilan'!W17,'Pelan Pengambilan'!Y17,'Pelan Pengambilan'!AA17,'Pelan Pengambilan'!AC17,'Pelan Pengambilan'!AE17),"")</f>
        <v>46148</v>
      </c>
      <c r="DM28" s="159">
        <f>IFERROR(MAX('Pelan Pengambilan'!I17,'Pelan Pengambilan'!K17,'Pelan Pengambilan'!M17,'Pelan Pengambilan'!O17,'Pelan Pengambilan'!Q17,'Pelan Pengambilan'!S17,'Pelan Pengambilan'!U17,'Pelan Pengambilan'!W17,'Pelan Pengambilan'!Y17,'Pelan Pengambilan'!AA17,'Pelan Pengambilan'!AC17,'Pelan Pengambilan'!AE17),"")</f>
        <v>46148</v>
      </c>
    </row>
    <row r="29" ht="19.5" customHeight="1">
      <c r="A29" s="41"/>
      <c r="B29" s="41"/>
      <c r="C29" s="41"/>
      <c r="D29" s="155" t="s">
        <v>276</v>
      </c>
      <c r="E29" s="41"/>
      <c r="F29" s="41"/>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41"/>
      <c r="DI29" s="41"/>
      <c r="DJ29" s="3"/>
      <c r="DK29" s="3"/>
      <c r="DL29" s="3"/>
      <c r="DM29" s="3"/>
    </row>
    <row r="30" ht="19.5" customHeight="1">
      <c r="A30" s="153" t="str">
        <f>'Pelan Pengambilan'!B18</f>
        <v>Penolong Pegawai Perubatan</v>
      </c>
      <c r="B30" s="154" t="str">
        <f>'Pelan Pengambilan'!C18</f>
        <v>U9</v>
      </c>
      <c r="C30" s="153" t="str">
        <f t="array" ref="C30">IFERROR(IF(INDEX(Strategi!$F$5:$F$134,MATCH(LARGE(Strategi!$K$5:$K$134,13),Strategi!$K$5:$K$134,0))="","","("&amp;COUNTIFS('Pelan Pengambilan'!$B$6:$B$18,'Pelan Pengambilan'!$B18,'Pelan Pengambilan'!$C$6:$C$18,'Pelan Pengambilan'!$C18)&amp;") "&amp;INDEX(Strategi!$F$5:$F$134,MATCH(LARGE(Strategi!$K$5:$K$134,13),Strategi!$K$5:$K$134,0))),"")</f>
        <v>(1) (1) Pengisian melalui calon simpanan sebanyak 37 orang
</v>
      </c>
      <c r="D30" s="155" t="s">
        <v>275</v>
      </c>
      <c r="E30" s="156">
        <f>IFERROR(IF(COUNT('Pelan Pengambilan'!H18,'Pelan Pengambilan'!J18,'Pelan Pengambilan'!L18,'Pelan Pengambilan'!N18,'Pelan Pengambilan'!P18,'Pelan Pengambilan'!R18,'Pelan Pengambilan'!T18,'Pelan Pengambilan'!V18,'Pelan Pengambilan'!X18,'Pelan Pengambilan'!Z18,'Pelan Pengambilan'!AB18,'Pelan Pengambilan'!AD18)=0,"",COUNT('Pelan Pengambilan'!I18,'Pelan Pengambilan'!K18,'Pelan Pengambilan'!M18,'Pelan Pengambilan'!O18,'Pelan Pengambilan'!Q18,'Pelan Pengambilan'!S18,'Pelan Pengambilan'!U18,'Pelan Pengambilan'!W18,'Pelan Pengambilan'!Y18,'Pelan Pengambilan'!AA18,'Pelan Pengambilan'!AC18,'Pelan Pengambilan'!AE18)/COUNT('Pelan Pengambilan'!H18,'Pelan Pengambilan'!J18,'Pelan Pengambilan'!L18,'Pelan Pengambilan'!N18,'Pelan Pengambilan'!P18,'Pelan Pengambilan'!R18,'Pelan Pengambilan'!T18,'Pelan Pengambilan'!V18,'Pelan Pengambilan'!X18,'Pelan Pengambilan'!Z18,'Pelan Pengambilan'!AB18,'Pelan Pengambilan'!AD18)),"")</f>
        <v>0</v>
      </c>
      <c r="F30" s="157" t="str">
        <f>IFERROR(IF('Pelan Pengambilan'!G18="","",'Pelan Pengambilan'!G18),"")</f>
        <v/>
      </c>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4">
        <f>'Pelan Pengambilan'!AF18</f>
        <v>37</v>
      </c>
      <c r="DI30" s="154"/>
      <c r="DJ30" s="159">
        <f>IFERROR(MIN('Pelan Pengambilan'!H18,'Pelan Pengambilan'!J18,'Pelan Pengambilan'!L18,'Pelan Pengambilan'!N18,'Pelan Pengambilan'!P18,'Pelan Pengambilan'!R18,'Pelan Pengambilan'!T18,'Pelan Pengambilan'!V18,'Pelan Pengambilan'!X18,'Pelan Pengambilan'!Z18,'Pelan Pengambilan'!AB18,'Pelan Pengambilan'!AD18),"")</f>
        <v>46181</v>
      </c>
      <c r="DK30" s="159">
        <f>IFERROR(MAX('Pelan Pengambilan'!H18,'Pelan Pengambilan'!J18,'Pelan Pengambilan'!L18,'Pelan Pengambilan'!N18,'Pelan Pengambilan'!P18,'Pelan Pengambilan'!R18,'Pelan Pengambilan'!T18,'Pelan Pengambilan'!V18,'Pelan Pengambilan'!X18,'Pelan Pengambilan'!Z18,'Pelan Pengambilan'!AB18,'Pelan Pengambilan'!AD18),"")</f>
        <v>46191</v>
      </c>
      <c r="DL30" s="159">
        <f>IFERROR(MIN('Pelan Pengambilan'!I18,'Pelan Pengambilan'!K18,'Pelan Pengambilan'!M18,'Pelan Pengambilan'!O18,'Pelan Pengambilan'!Q18,'Pelan Pengambilan'!S18,'Pelan Pengambilan'!U18,'Pelan Pengambilan'!W18,'Pelan Pengambilan'!Y18,'Pelan Pengambilan'!AA18,'Pelan Pengambilan'!AC18,'Pelan Pengambilan'!AE18),"")</f>
        <v>0</v>
      </c>
      <c r="DM30" s="159">
        <f>IFERROR(MAX('Pelan Pengambilan'!I18,'Pelan Pengambilan'!K18,'Pelan Pengambilan'!M18,'Pelan Pengambilan'!O18,'Pelan Pengambilan'!Q18,'Pelan Pengambilan'!S18,'Pelan Pengambilan'!U18,'Pelan Pengambilan'!W18,'Pelan Pengambilan'!Y18,'Pelan Pengambilan'!AA18,'Pelan Pengambilan'!AC18,'Pelan Pengambilan'!AE18),"")</f>
        <v>0</v>
      </c>
    </row>
    <row r="31" ht="19.5" customHeight="1">
      <c r="A31" s="41"/>
      <c r="B31" s="41"/>
      <c r="C31" s="41"/>
      <c r="D31" s="155" t="s">
        <v>276</v>
      </c>
      <c r="E31" s="41"/>
      <c r="F31" s="41"/>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41"/>
      <c r="DI31" s="41"/>
      <c r="DJ31" s="3"/>
      <c r="DK31" s="3"/>
      <c r="DL31" s="3"/>
      <c r="DM31" s="3"/>
    </row>
    <row r="32" ht="19.5" customHeight="1">
      <c r="A32" s="153" t="str">
        <f>'Pelan Pengambilan'!B19</f>
        <v>Penolong Pegawai Perubatan</v>
      </c>
      <c r="B32" s="154" t="str">
        <f>'Pelan Pengambilan'!C19</f>
        <v>U9</v>
      </c>
      <c r="C32" s="153" t="str">
        <f t="array" ref="C32">IFERROR(IF(INDEX(Strategi!$F$5:$F$134,MATCH(LARGE(Strategi!$K$5:$K$134,14),Strategi!$K$5:$K$134,0))="","","("&amp;COUNTIFS('Pelan Pengambilan'!$B$6:$B$19,'Pelan Pengambilan'!$B19,'Pelan Pengambilan'!$C$6:$C$19,'Pelan Pengambilan'!$C19)&amp;") "&amp;INDEX(Strategi!$F$5:$F$134,MATCH(LARGE(Strategi!$K$5:$K$134,14),Strategi!$K$5:$K$134,0))),"")</f>
        <v>(2) (2) Pengisian melalui urusan pengambilan baharu
</v>
      </c>
      <c r="D32" s="155" t="s">
        <v>275</v>
      </c>
      <c r="E32" s="156">
        <f>IFERROR(IF(COUNT('Pelan Pengambilan'!H19,'Pelan Pengambilan'!J19,'Pelan Pengambilan'!L19,'Pelan Pengambilan'!N19,'Pelan Pengambilan'!P19,'Pelan Pengambilan'!R19,'Pelan Pengambilan'!T19,'Pelan Pengambilan'!V19,'Pelan Pengambilan'!X19,'Pelan Pengambilan'!Z19,'Pelan Pengambilan'!AB19,'Pelan Pengambilan'!AD19)=0,"",COUNT('Pelan Pengambilan'!I19,'Pelan Pengambilan'!K19,'Pelan Pengambilan'!M19,'Pelan Pengambilan'!O19,'Pelan Pengambilan'!Q19,'Pelan Pengambilan'!S19,'Pelan Pengambilan'!U19,'Pelan Pengambilan'!W19,'Pelan Pengambilan'!Y19,'Pelan Pengambilan'!AA19,'Pelan Pengambilan'!AC19,'Pelan Pengambilan'!AE19)/COUNT('Pelan Pengambilan'!H19,'Pelan Pengambilan'!J19,'Pelan Pengambilan'!L19,'Pelan Pengambilan'!N19,'Pelan Pengambilan'!P19,'Pelan Pengambilan'!R19,'Pelan Pengambilan'!T19,'Pelan Pengambilan'!V19,'Pelan Pengambilan'!X19,'Pelan Pengambilan'!Z19,'Pelan Pengambilan'!AB19,'Pelan Pengambilan'!AD19)),"")</f>
        <v>0.1</v>
      </c>
      <c r="F32" s="157" t="str">
        <f>IFERROR(IF('Pelan Pengambilan'!G19="","",'Pelan Pengambilan'!G19),"")</f>
        <v>P1: Permohonan e-Pengisian</v>
      </c>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4">
        <f>'Pelan Pengambilan'!AF19</f>
        <v>43</v>
      </c>
      <c r="DI32" s="154"/>
      <c r="DJ32" s="159">
        <f>IFERROR(MIN('Pelan Pengambilan'!H19,'Pelan Pengambilan'!J19,'Pelan Pengambilan'!L19,'Pelan Pengambilan'!N19,'Pelan Pengambilan'!P19,'Pelan Pengambilan'!R19,'Pelan Pengambilan'!T19,'Pelan Pengambilan'!V19,'Pelan Pengambilan'!X19,'Pelan Pengambilan'!Z19,'Pelan Pengambilan'!AB19,'Pelan Pengambilan'!AD19),"")</f>
        <v>46147</v>
      </c>
      <c r="DK32" s="159">
        <f>IFERROR(MAX('Pelan Pengambilan'!H19,'Pelan Pengambilan'!J19,'Pelan Pengambilan'!L19,'Pelan Pengambilan'!N19,'Pelan Pengambilan'!P19,'Pelan Pengambilan'!R19,'Pelan Pengambilan'!T19,'Pelan Pengambilan'!V19,'Pelan Pengambilan'!X19,'Pelan Pengambilan'!Z19,'Pelan Pengambilan'!AB19,'Pelan Pengambilan'!AD19),"")</f>
        <v>46345</v>
      </c>
      <c r="DL32" s="159">
        <f>IFERROR(MIN('Pelan Pengambilan'!I19,'Pelan Pengambilan'!K19,'Pelan Pengambilan'!M19,'Pelan Pengambilan'!O19,'Pelan Pengambilan'!Q19,'Pelan Pengambilan'!S19,'Pelan Pengambilan'!U19,'Pelan Pengambilan'!W19,'Pelan Pengambilan'!Y19,'Pelan Pengambilan'!AA19,'Pelan Pengambilan'!AC19,'Pelan Pengambilan'!AE19),"")</f>
        <v>46147</v>
      </c>
      <c r="DM32" s="159">
        <f>IFERROR(MAX('Pelan Pengambilan'!I19,'Pelan Pengambilan'!K19,'Pelan Pengambilan'!M19,'Pelan Pengambilan'!O19,'Pelan Pengambilan'!Q19,'Pelan Pengambilan'!S19,'Pelan Pengambilan'!U19,'Pelan Pengambilan'!W19,'Pelan Pengambilan'!Y19,'Pelan Pengambilan'!AA19,'Pelan Pengambilan'!AC19,'Pelan Pengambilan'!AE19),"")</f>
        <v>46147</v>
      </c>
    </row>
    <row r="33" ht="19.5" customHeight="1">
      <c r="A33" s="41"/>
      <c r="B33" s="41"/>
      <c r="C33" s="41"/>
      <c r="D33" s="155" t="s">
        <v>276</v>
      </c>
      <c r="E33" s="41"/>
      <c r="F33" s="41"/>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41"/>
      <c r="DI33" s="41"/>
      <c r="DJ33" s="3"/>
      <c r="DK33" s="3"/>
      <c r="DL33" s="3"/>
      <c r="DM33" s="3"/>
    </row>
    <row r="34" ht="19.5" customHeight="1">
      <c r="A34" s="153" t="str">
        <f>'Pelan Pengambilan'!B20</f>
        <v>Juru X-Ray (Diagnostik)</v>
      </c>
      <c r="B34" s="154" t="str">
        <f>'Pelan Pengambilan'!C20</f>
        <v>U9</v>
      </c>
      <c r="C34" s="153" t="str">
        <f t="array" ref="C34">IFERROR(IF(INDEX(Strategi!$F$5:$F$134,MATCH(LARGE(Strategi!$K$5:$K$134,15),Strategi!$K$5:$K$134,0))="","","("&amp;COUNTIFS('Pelan Pengambilan'!$B$6:$B$20,'Pelan Pengambilan'!$B20,'Pelan Pengambilan'!$C$6:$C$20,'Pelan Pengambilan'!$C20)&amp;") "&amp;INDEX(Strategi!$F$5:$F$134,MATCH(LARGE(Strategi!$K$5:$K$134,15),Strategi!$K$5:$K$134,0))),"")</f>
        <v>(1) Pengambilan calon baru</v>
      </c>
      <c r="D34" s="155" t="s">
        <v>275</v>
      </c>
      <c r="E34" s="156">
        <f>IFERROR(IF(COUNT('Pelan Pengambilan'!H20,'Pelan Pengambilan'!J20,'Pelan Pengambilan'!L20,'Pelan Pengambilan'!N20,'Pelan Pengambilan'!P20,'Pelan Pengambilan'!R20,'Pelan Pengambilan'!T20,'Pelan Pengambilan'!V20,'Pelan Pengambilan'!X20,'Pelan Pengambilan'!Z20,'Pelan Pengambilan'!AB20,'Pelan Pengambilan'!AD20)=0,"",COUNT('Pelan Pengambilan'!I20,'Pelan Pengambilan'!K20,'Pelan Pengambilan'!M20,'Pelan Pengambilan'!O20,'Pelan Pengambilan'!Q20,'Pelan Pengambilan'!S20,'Pelan Pengambilan'!U20,'Pelan Pengambilan'!W20,'Pelan Pengambilan'!Y20,'Pelan Pengambilan'!AA20,'Pelan Pengambilan'!AC20,'Pelan Pengambilan'!AE20)/COUNT('Pelan Pengambilan'!H20,'Pelan Pengambilan'!J20,'Pelan Pengambilan'!L20,'Pelan Pengambilan'!N20,'Pelan Pengambilan'!P20,'Pelan Pengambilan'!R20,'Pelan Pengambilan'!T20,'Pelan Pengambilan'!V20,'Pelan Pengambilan'!X20,'Pelan Pengambilan'!Z20,'Pelan Pengambilan'!AB20,'Pelan Pengambilan'!AD20)),"")</f>
        <v>0</v>
      </c>
      <c r="F34" s="157" t="str">
        <f>IFERROR(IF('Pelan Pengambilan'!G20="","",'Pelan Pengambilan'!G20),"")</f>
        <v/>
      </c>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4">
        <f>'Pelan Pengambilan'!AF20</f>
        <v>7</v>
      </c>
      <c r="DI34" s="154"/>
      <c r="DJ34" s="159">
        <f>IFERROR(MIN('Pelan Pengambilan'!H20,'Pelan Pengambilan'!J20,'Pelan Pengambilan'!L20,'Pelan Pengambilan'!N20,'Pelan Pengambilan'!P20,'Pelan Pengambilan'!R20,'Pelan Pengambilan'!T20,'Pelan Pengambilan'!V20,'Pelan Pengambilan'!X20,'Pelan Pengambilan'!Z20,'Pelan Pengambilan'!AB20,'Pelan Pengambilan'!AD20),"")</f>
        <v>46204</v>
      </c>
      <c r="DK34" s="159">
        <f>IFERROR(MAX('Pelan Pengambilan'!H20,'Pelan Pengambilan'!J20,'Pelan Pengambilan'!L20,'Pelan Pengambilan'!N20,'Pelan Pengambilan'!P20,'Pelan Pengambilan'!R20,'Pelan Pengambilan'!T20,'Pelan Pengambilan'!V20,'Pelan Pengambilan'!X20,'Pelan Pengambilan'!Z20,'Pelan Pengambilan'!AB20,'Pelan Pengambilan'!AD20),"")</f>
        <v>46204</v>
      </c>
      <c r="DL34" s="159">
        <f>IFERROR(MIN('Pelan Pengambilan'!I20,'Pelan Pengambilan'!K20,'Pelan Pengambilan'!M20,'Pelan Pengambilan'!O20,'Pelan Pengambilan'!Q20,'Pelan Pengambilan'!S20,'Pelan Pengambilan'!U20,'Pelan Pengambilan'!W20,'Pelan Pengambilan'!Y20,'Pelan Pengambilan'!AA20,'Pelan Pengambilan'!AC20,'Pelan Pengambilan'!AE20),"")</f>
        <v>0</v>
      </c>
      <c r="DM34" s="159">
        <f>IFERROR(MAX('Pelan Pengambilan'!I20,'Pelan Pengambilan'!K20,'Pelan Pengambilan'!M20,'Pelan Pengambilan'!O20,'Pelan Pengambilan'!Q20,'Pelan Pengambilan'!S20,'Pelan Pengambilan'!U20,'Pelan Pengambilan'!W20,'Pelan Pengambilan'!Y20,'Pelan Pengambilan'!AA20,'Pelan Pengambilan'!AC20,'Pelan Pengambilan'!AE20),"")</f>
        <v>0</v>
      </c>
    </row>
    <row r="35" ht="19.5" customHeight="1">
      <c r="A35" s="41"/>
      <c r="B35" s="41"/>
      <c r="C35" s="41"/>
      <c r="D35" s="155" t="s">
        <v>276</v>
      </c>
      <c r="E35" s="41"/>
      <c r="F35" s="41"/>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41"/>
      <c r="DI35" s="41"/>
      <c r="DJ35" s="3"/>
      <c r="DK35" s="3"/>
      <c r="DL35" s="3"/>
      <c r="DM35" s="3"/>
    </row>
    <row r="36" ht="19.5" customHeight="1">
      <c r="A36" s="153" t="str">
        <f>'Pelan Pengambilan'!B21</f>
        <v>Pegawai Dietetik</v>
      </c>
      <c r="B36" s="154" t="str">
        <f>'Pelan Pengambilan'!C21</f>
        <v>U9</v>
      </c>
      <c r="C36" s="153" t="str">
        <f t="array" ref="C36">IFERROR(IF(INDEX(Strategi!$F$5:$F$134,MATCH(LARGE(Strategi!$K$5:$K$134,16),Strategi!$K$5:$K$134,0))="","","("&amp;COUNTIFS('Pelan Pengambilan'!$B$6:$B$21,'Pelan Pengambilan'!$B21,'Pelan Pengambilan'!$C$6:$C$21,'Pelan Pengambilan'!$C21)&amp;") "&amp;INDEX(Strategi!$F$5:$F$134,MATCH(LARGE(Strategi!$K$5:$K$134,16),Strategi!$K$5:$K$134,0))),"")</f>
        <v>(1) Pengisian melalui baki calon simpanan sebanyak 70 orang</v>
      </c>
      <c r="D36" s="155" t="s">
        <v>275</v>
      </c>
      <c r="E36" s="156">
        <f>IFERROR(IF(COUNT('Pelan Pengambilan'!H21,'Pelan Pengambilan'!J21,'Pelan Pengambilan'!L21,'Pelan Pengambilan'!N21,'Pelan Pengambilan'!P21,'Pelan Pengambilan'!R21,'Pelan Pengambilan'!T21,'Pelan Pengambilan'!V21,'Pelan Pengambilan'!X21,'Pelan Pengambilan'!Z21,'Pelan Pengambilan'!AB21,'Pelan Pengambilan'!AD21)=0,"",COUNT('Pelan Pengambilan'!I21,'Pelan Pengambilan'!K21,'Pelan Pengambilan'!M21,'Pelan Pengambilan'!O21,'Pelan Pengambilan'!Q21,'Pelan Pengambilan'!S21,'Pelan Pengambilan'!U21,'Pelan Pengambilan'!W21,'Pelan Pengambilan'!Y21,'Pelan Pengambilan'!AA21,'Pelan Pengambilan'!AC21,'Pelan Pengambilan'!AE21)/COUNT('Pelan Pengambilan'!H21,'Pelan Pengambilan'!J21,'Pelan Pengambilan'!L21,'Pelan Pengambilan'!N21,'Pelan Pengambilan'!P21,'Pelan Pengambilan'!R21,'Pelan Pengambilan'!T21,'Pelan Pengambilan'!V21,'Pelan Pengambilan'!X21,'Pelan Pengambilan'!Z21,'Pelan Pengambilan'!AB21,'Pelan Pengambilan'!AD21)),"")</f>
        <v>0</v>
      </c>
      <c r="F36" s="157" t="str">
        <f>IFERROR(IF('Pelan Pengambilan'!G21="","",'Pelan Pengambilan'!G21),"")</f>
        <v/>
      </c>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4">
        <f>'Pelan Pengambilan'!AF21</f>
        <v>70</v>
      </c>
      <c r="DI36" s="154"/>
      <c r="DJ36" s="159">
        <f>IFERROR(MIN('Pelan Pengambilan'!H21,'Pelan Pengambilan'!J21,'Pelan Pengambilan'!L21,'Pelan Pengambilan'!N21,'Pelan Pengambilan'!P21,'Pelan Pengambilan'!R21,'Pelan Pengambilan'!T21,'Pelan Pengambilan'!V21,'Pelan Pengambilan'!X21,'Pelan Pengambilan'!Z21,'Pelan Pengambilan'!AB21,'Pelan Pengambilan'!AD21),"")</f>
        <v>46204</v>
      </c>
      <c r="DK36" s="159">
        <f>IFERROR(MAX('Pelan Pengambilan'!H21,'Pelan Pengambilan'!J21,'Pelan Pengambilan'!L21,'Pelan Pengambilan'!N21,'Pelan Pengambilan'!P21,'Pelan Pengambilan'!R21,'Pelan Pengambilan'!T21,'Pelan Pengambilan'!V21,'Pelan Pengambilan'!X21,'Pelan Pengambilan'!Z21,'Pelan Pengambilan'!AB21,'Pelan Pengambilan'!AD21),"")</f>
        <v>46204</v>
      </c>
      <c r="DL36" s="159">
        <f>IFERROR(MIN('Pelan Pengambilan'!I21,'Pelan Pengambilan'!K21,'Pelan Pengambilan'!M21,'Pelan Pengambilan'!O21,'Pelan Pengambilan'!Q21,'Pelan Pengambilan'!S21,'Pelan Pengambilan'!U21,'Pelan Pengambilan'!W21,'Pelan Pengambilan'!Y21,'Pelan Pengambilan'!AA21,'Pelan Pengambilan'!AC21,'Pelan Pengambilan'!AE21),"")</f>
        <v>0</v>
      </c>
      <c r="DM36" s="159">
        <f>IFERROR(MAX('Pelan Pengambilan'!I21,'Pelan Pengambilan'!K21,'Pelan Pengambilan'!M21,'Pelan Pengambilan'!O21,'Pelan Pengambilan'!Q21,'Pelan Pengambilan'!S21,'Pelan Pengambilan'!U21,'Pelan Pengambilan'!W21,'Pelan Pengambilan'!Y21,'Pelan Pengambilan'!AA21,'Pelan Pengambilan'!AC21,'Pelan Pengambilan'!AE21),"")</f>
        <v>0</v>
      </c>
    </row>
    <row r="37" ht="19.5" customHeight="1">
      <c r="A37" s="41"/>
      <c r="B37" s="41"/>
      <c r="C37" s="41"/>
      <c r="D37" s="155" t="s">
        <v>276</v>
      </c>
      <c r="E37" s="41"/>
      <c r="F37" s="41"/>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41"/>
      <c r="DI37" s="41"/>
      <c r="DJ37" s="3"/>
      <c r="DK37" s="3"/>
      <c r="DL37" s="3"/>
      <c r="DM37" s="3"/>
    </row>
    <row r="38" ht="19.5" customHeight="1">
      <c r="A38" s="153" t="str">
        <f>'Pelan Pengambilan'!B22</f>
        <v>Pegawai Dietetik</v>
      </c>
      <c r="B38" s="154" t="str">
        <f>'Pelan Pengambilan'!C22</f>
        <v>U9</v>
      </c>
      <c r="C38" s="153" t="str">
        <f t="array" ref="C38">IFERROR(IF(INDEX(Strategi!$F$5:$F$134,MATCH(LARGE(Strategi!$K$5:$K$134,17),Strategi!$K$5:$K$134,0))="","","("&amp;COUNTIFS('Pelan Pengambilan'!$B$6:$B$22,'Pelan Pengambilan'!$B22,'Pelan Pengambilan'!$C$6:$C$22,'Pelan Pengambilan'!$C22)&amp;") "&amp;INDEX(Strategi!$F$5:$F$134,MATCH(LARGE(Strategi!$K$5:$K$134,17),Strategi!$K$5:$K$134,0))),"")</f>
        <v>(2) Pengambilan calon baharu</v>
      </c>
      <c r="D38" s="155" t="s">
        <v>275</v>
      </c>
      <c r="E38" s="156">
        <f>IFERROR(IF(COUNT('Pelan Pengambilan'!H22,'Pelan Pengambilan'!J22,'Pelan Pengambilan'!L22,'Pelan Pengambilan'!N22,'Pelan Pengambilan'!P22,'Pelan Pengambilan'!R22,'Pelan Pengambilan'!T22,'Pelan Pengambilan'!V22,'Pelan Pengambilan'!X22,'Pelan Pengambilan'!Z22,'Pelan Pengambilan'!AB22,'Pelan Pengambilan'!AD22)=0,"",COUNT('Pelan Pengambilan'!I22,'Pelan Pengambilan'!K22,'Pelan Pengambilan'!M22,'Pelan Pengambilan'!O22,'Pelan Pengambilan'!Q22,'Pelan Pengambilan'!S22,'Pelan Pengambilan'!U22,'Pelan Pengambilan'!W22,'Pelan Pengambilan'!Y22,'Pelan Pengambilan'!AA22,'Pelan Pengambilan'!AC22,'Pelan Pengambilan'!AE22)/COUNT('Pelan Pengambilan'!H22,'Pelan Pengambilan'!J22,'Pelan Pengambilan'!L22,'Pelan Pengambilan'!N22,'Pelan Pengambilan'!P22,'Pelan Pengambilan'!R22,'Pelan Pengambilan'!T22,'Pelan Pengambilan'!V22,'Pelan Pengambilan'!X22,'Pelan Pengambilan'!Z22,'Pelan Pengambilan'!AB22,'Pelan Pengambilan'!AD22)),"")</f>
        <v>0</v>
      </c>
      <c r="F38" s="157" t="str">
        <f>IFERROR(IF('Pelan Pengambilan'!G22="","",'Pelan Pengambilan'!G22),"")</f>
        <v/>
      </c>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4">
        <f>'Pelan Pengambilan'!AF22</f>
        <v>6</v>
      </c>
      <c r="DI38" s="154"/>
      <c r="DJ38" s="159">
        <f>IFERROR(MIN('Pelan Pengambilan'!H22,'Pelan Pengambilan'!J22,'Pelan Pengambilan'!L22,'Pelan Pengambilan'!N22,'Pelan Pengambilan'!P22,'Pelan Pengambilan'!R22,'Pelan Pengambilan'!T22,'Pelan Pengambilan'!V22,'Pelan Pengambilan'!X22,'Pelan Pengambilan'!Z22,'Pelan Pengambilan'!AB22,'Pelan Pengambilan'!AD22),"")</f>
        <v>46235</v>
      </c>
      <c r="DK38" s="159">
        <f>IFERROR(MAX('Pelan Pengambilan'!H22,'Pelan Pengambilan'!J22,'Pelan Pengambilan'!L22,'Pelan Pengambilan'!N22,'Pelan Pengambilan'!P22,'Pelan Pengambilan'!R22,'Pelan Pengambilan'!T22,'Pelan Pengambilan'!V22,'Pelan Pengambilan'!X22,'Pelan Pengambilan'!Z22,'Pelan Pengambilan'!AB22,'Pelan Pengambilan'!AD22),"")</f>
        <v>46235</v>
      </c>
      <c r="DL38" s="159">
        <f>IFERROR(MIN('Pelan Pengambilan'!I22,'Pelan Pengambilan'!K22,'Pelan Pengambilan'!M22,'Pelan Pengambilan'!O22,'Pelan Pengambilan'!Q22,'Pelan Pengambilan'!S22,'Pelan Pengambilan'!U22,'Pelan Pengambilan'!W22,'Pelan Pengambilan'!Y22,'Pelan Pengambilan'!AA22,'Pelan Pengambilan'!AC22,'Pelan Pengambilan'!AE22),"")</f>
        <v>0</v>
      </c>
      <c r="DM38" s="159">
        <f>IFERROR(MAX('Pelan Pengambilan'!I22,'Pelan Pengambilan'!K22,'Pelan Pengambilan'!M22,'Pelan Pengambilan'!O22,'Pelan Pengambilan'!Q22,'Pelan Pengambilan'!S22,'Pelan Pengambilan'!U22,'Pelan Pengambilan'!W22,'Pelan Pengambilan'!Y22,'Pelan Pengambilan'!AA22,'Pelan Pengambilan'!AC22,'Pelan Pengambilan'!AE22),"")</f>
        <v>0</v>
      </c>
    </row>
    <row r="39" ht="19.5" customHeight="1">
      <c r="A39" s="41"/>
      <c r="B39" s="41"/>
      <c r="C39" s="41"/>
      <c r="D39" s="155" t="s">
        <v>276</v>
      </c>
      <c r="E39" s="41"/>
      <c r="F39" s="41"/>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158"/>
      <c r="DE39" s="158"/>
      <c r="DF39" s="158"/>
      <c r="DG39" s="158"/>
      <c r="DH39" s="41"/>
      <c r="DI39" s="41"/>
      <c r="DJ39" s="3"/>
      <c r="DK39" s="3"/>
      <c r="DL39" s="3"/>
      <c r="DM39" s="3"/>
    </row>
    <row r="40" ht="19.5" customHeight="1">
      <c r="A40" s="153" t="str">
        <f>'Pelan Pengambilan'!B23</f>
        <v>Pegawai Pemulihan Perubatan (Pendengaran)</v>
      </c>
      <c r="B40" s="154" t="str">
        <f>'Pelan Pengambilan'!C23</f>
        <v>U9</v>
      </c>
      <c r="C40" s="153" t="str">
        <f t="array" ref="C40">IFERROR(IF(INDEX(Strategi!$F$5:$F$134,MATCH(LARGE(Strategi!$K$5:$K$134,18),Strategi!$K$5:$K$134,0))="","","("&amp;COUNTIFS('Pelan Pengambilan'!$B$6:$B$23,'Pelan Pengambilan'!$B23,'Pelan Pengambilan'!$C$6:$C$23,'Pelan Pengambilan'!$C23)&amp;") "&amp;INDEX(Strategi!$F$5:$F$134,MATCH(LARGE(Strategi!$K$5:$K$134,18),Strategi!$K$5:$K$134,0))),"")</f>
        <v/>
      </c>
      <c r="D40" s="155" t="s">
        <v>275</v>
      </c>
      <c r="E40" s="156">
        <f>IFERROR(IF(COUNT('Pelan Pengambilan'!H23,'Pelan Pengambilan'!J23,'Pelan Pengambilan'!L23,'Pelan Pengambilan'!N23,'Pelan Pengambilan'!P23,'Pelan Pengambilan'!R23,'Pelan Pengambilan'!T23,'Pelan Pengambilan'!V23,'Pelan Pengambilan'!X23,'Pelan Pengambilan'!Z23,'Pelan Pengambilan'!AB23,'Pelan Pengambilan'!AD23)=0,"",COUNT('Pelan Pengambilan'!I23,'Pelan Pengambilan'!K23,'Pelan Pengambilan'!M23,'Pelan Pengambilan'!O23,'Pelan Pengambilan'!Q23,'Pelan Pengambilan'!S23,'Pelan Pengambilan'!U23,'Pelan Pengambilan'!W23,'Pelan Pengambilan'!Y23,'Pelan Pengambilan'!AA23,'Pelan Pengambilan'!AC23,'Pelan Pengambilan'!AE23)/COUNT('Pelan Pengambilan'!H23,'Pelan Pengambilan'!J23,'Pelan Pengambilan'!L23,'Pelan Pengambilan'!N23,'Pelan Pengambilan'!P23,'Pelan Pengambilan'!R23,'Pelan Pengambilan'!T23,'Pelan Pengambilan'!V23,'Pelan Pengambilan'!X23,'Pelan Pengambilan'!Z23,'Pelan Pengambilan'!AB23,'Pelan Pengambilan'!AD23)),"")</f>
        <v>0</v>
      </c>
      <c r="F40" s="157" t="str">
        <f>IFERROR(IF('Pelan Pengambilan'!G23="","",'Pelan Pengambilan'!G23),"")</f>
        <v/>
      </c>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158"/>
      <c r="DD40" s="158"/>
      <c r="DE40" s="158"/>
      <c r="DF40" s="158"/>
      <c r="DG40" s="158"/>
      <c r="DH40" s="154">
        <f>'Pelan Pengambilan'!AF23</f>
        <v>13</v>
      </c>
      <c r="DI40" s="154"/>
      <c r="DJ40" s="3">
        <f>IFERROR(MIN('Pelan Pengambilan'!H23,'Pelan Pengambilan'!J23,'Pelan Pengambilan'!L23,'Pelan Pengambilan'!N23,'Pelan Pengambilan'!P23,'Pelan Pengambilan'!R23,'Pelan Pengambilan'!T23,'Pelan Pengambilan'!V23,'Pelan Pengambilan'!X23,'Pelan Pengambilan'!Z23,'Pelan Pengambilan'!AB23,'Pelan Pengambilan'!AD23),"")</f>
        <v>46235</v>
      </c>
      <c r="DK40" s="3">
        <f>IFERROR(MAX('Pelan Pengambilan'!H23,'Pelan Pengambilan'!J23,'Pelan Pengambilan'!L23,'Pelan Pengambilan'!N23,'Pelan Pengambilan'!P23,'Pelan Pengambilan'!R23,'Pelan Pengambilan'!T23,'Pelan Pengambilan'!V23,'Pelan Pengambilan'!X23,'Pelan Pengambilan'!Z23,'Pelan Pengambilan'!AB23,'Pelan Pengambilan'!AD23),"")</f>
        <v>46235</v>
      </c>
      <c r="DL40" s="3">
        <f>IFERROR(MIN('Pelan Pengambilan'!I23,'Pelan Pengambilan'!K23,'Pelan Pengambilan'!M23,'Pelan Pengambilan'!O23,'Pelan Pengambilan'!Q23,'Pelan Pengambilan'!S23,'Pelan Pengambilan'!U23,'Pelan Pengambilan'!W23,'Pelan Pengambilan'!Y23,'Pelan Pengambilan'!AA23,'Pelan Pengambilan'!AC23,'Pelan Pengambilan'!AE23),"")</f>
        <v>0</v>
      </c>
      <c r="DM40" s="3">
        <f>IFERROR(MAX('Pelan Pengambilan'!I23,'Pelan Pengambilan'!K23,'Pelan Pengambilan'!M23,'Pelan Pengambilan'!O23,'Pelan Pengambilan'!Q23,'Pelan Pengambilan'!S23,'Pelan Pengambilan'!U23,'Pelan Pengambilan'!W23,'Pelan Pengambilan'!Y23,'Pelan Pengambilan'!AA23,'Pelan Pengambilan'!AC23,'Pelan Pengambilan'!AE23),"")</f>
        <v>0</v>
      </c>
    </row>
    <row r="41" ht="19.5" customHeight="1">
      <c r="A41" s="41"/>
      <c r="B41" s="41"/>
      <c r="C41" s="41"/>
      <c r="D41" s="155" t="s">
        <v>276</v>
      </c>
      <c r="E41" s="41"/>
      <c r="F41" s="41"/>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c r="CS41" s="158"/>
      <c r="CT41" s="158"/>
      <c r="CU41" s="158"/>
      <c r="CV41" s="158"/>
      <c r="CW41" s="158"/>
      <c r="CX41" s="158"/>
      <c r="CY41" s="158"/>
      <c r="CZ41" s="158"/>
      <c r="DA41" s="158"/>
      <c r="DB41" s="158"/>
      <c r="DC41" s="158"/>
      <c r="DD41" s="158"/>
      <c r="DE41" s="158"/>
      <c r="DF41" s="158"/>
      <c r="DG41" s="158"/>
      <c r="DH41" s="41"/>
      <c r="DI41" s="41"/>
      <c r="DJ41" s="3"/>
      <c r="DK41" s="3"/>
      <c r="DL41" s="3"/>
      <c r="DM41" s="3"/>
    </row>
    <row r="42" ht="19.5" customHeight="1">
      <c r="A42" s="153" t="str">
        <f>'Pelan Pengambilan'!B24</f>
        <v>Pegawai Optometri</v>
      </c>
      <c r="B42" s="154" t="str">
        <f>'Pelan Pengambilan'!C24</f>
        <v>U9</v>
      </c>
      <c r="C42" s="153" t="str">
        <f t="array" ref="C42">IFERROR(IF(INDEX(Strategi!$F$5:$F$134,MATCH(LARGE(Strategi!$K$5:$K$134,19),Strategi!$K$5:$K$134,0))="","","("&amp;COUNTIFS('Pelan Pengambilan'!$B$6:$B$24,'Pelan Pengambilan'!$B24,'Pelan Pengambilan'!$C$6:$C$24,'Pelan Pengambilan'!$C24)&amp;") "&amp;INDEX(Strategi!$F$5:$F$134,MATCH(LARGE(Strategi!$K$5:$K$134,19),Strategi!$K$5:$K$134,0))),"")</f>
        <v/>
      </c>
      <c r="D42" s="155" t="s">
        <v>275</v>
      </c>
      <c r="E42" s="156">
        <f>IFERROR(IF(COUNT('Pelan Pengambilan'!H24,'Pelan Pengambilan'!J24,'Pelan Pengambilan'!L24,'Pelan Pengambilan'!N24,'Pelan Pengambilan'!P24,'Pelan Pengambilan'!R24,'Pelan Pengambilan'!T24,'Pelan Pengambilan'!V24,'Pelan Pengambilan'!X24,'Pelan Pengambilan'!Z24,'Pelan Pengambilan'!AB24,'Pelan Pengambilan'!AD24)=0,"",COUNT('Pelan Pengambilan'!I24,'Pelan Pengambilan'!K24,'Pelan Pengambilan'!M24,'Pelan Pengambilan'!O24,'Pelan Pengambilan'!Q24,'Pelan Pengambilan'!S24,'Pelan Pengambilan'!U24,'Pelan Pengambilan'!W24,'Pelan Pengambilan'!Y24,'Pelan Pengambilan'!AA24,'Pelan Pengambilan'!AC24,'Pelan Pengambilan'!AE24)/COUNT('Pelan Pengambilan'!H24,'Pelan Pengambilan'!J24,'Pelan Pengambilan'!L24,'Pelan Pengambilan'!N24,'Pelan Pengambilan'!P24,'Pelan Pengambilan'!R24,'Pelan Pengambilan'!T24,'Pelan Pengambilan'!V24,'Pelan Pengambilan'!X24,'Pelan Pengambilan'!Z24,'Pelan Pengambilan'!AB24,'Pelan Pengambilan'!AD24)),"")</f>
        <v>0</v>
      </c>
      <c r="F42" s="157" t="str">
        <f>IFERROR(IF('Pelan Pengambilan'!G24="","",'Pelan Pengambilan'!G24),"")</f>
        <v/>
      </c>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4">
        <f>'Pelan Pengambilan'!AF24</f>
        <v>34</v>
      </c>
      <c r="DI42" s="154"/>
      <c r="DJ42" s="3">
        <f>IFERROR(MIN('Pelan Pengambilan'!H24,'Pelan Pengambilan'!J24,'Pelan Pengambilan'!L24,'Pelan Pengambilan'!N24,'Pelan Pengambilan'!P24,'Pelan Pengambilan'!R24,'Pelan Pengambilan'!T24,'Pelan Pengambilan'!V24,'Pelan Pengambilan'!X24,'Pelan Pengambilan'!Z24,'Pelan Pengambilan'!AB24,'Pelan Pengambilan'!AD24),"")</f>
        <v>46235</v>
      </c>
      <c r="DK42" s="3">
        <f>IFERROR(MAX('Pelan Pengambilan'!H24,'Pelan Pengambilan'!J24,'Pelan Pengambilan'!L24,'Pelan Pengambilan'!N24,'Pelan Pengambilan'!P24,'Pelan Pengambilan'!R24,'Pelan Pengambilan'!T24,'Pelan Pengambilan'!V24,'Pelan Pengambilan'!X24,'Pelan Pengambilan'!Z24,'Pelan Pengambilan'!AB24,'Pelan Pengambilan'!AD24),"")</f>
        <v>46235</v>
      </c>
      <c r="DL42" s="3">
        <f>IFERROR(MIN('Pelan Pengambilan'!I24,'Pelan Pengambilan'!K24,'Pelan Pengambilan'!M24,'Pelan Pengambilan'!O24,'Pelan Pengambilan'!Q24,'Pelan Pengambilan'!S24,'Pelan Pengambilan'!U24,'Pelan Pengambilan'!W24,'Pelan Pengambilan'!Y24,'Pelan Pengambilan'!AA24,'Pelan Pengambilan'!AC24,'Pelan Pengambilan'!AE24),"")</f>
        <v>0</v>
      </c>
      <c r="DM42" s="3">
        <f>IFERROR(MAX('Pelan Pengambilan'!I24,'Pelan Pengambilan'!K24,'Pelan Pengambilan'!M24,'Pelan Pengambilan'!O24,'Pelan Pengambilan'!Q24,'Pelan Pengambilan'!S24,'Pelan Pengambilan'!U24,'Pelan Pengambilan'!W24,'Pelan Pengambilan'!Y24,'Pelan Pengambilan'!AA24,'Pelan Pengambilan'!AC24,'Pelan Pengambilan'!AE24),"")</f>
        <v>0</v>
      </c>
    </row>
    <row r="43" ht="19.5" customHeight="1">
      <c r="A43" s="41"/>
      <c r="B43" s="41"/>
      <c r="C43" s="41"/>
      <c r="D43" s="155" t="s">
        <v>276</v>
      </c>
      <c r="E43" s="41"/>
      <c r="F43" s="41"/>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41"/>
      <c r="DI43" s="41"/>
      <c r="DJ43" s="3"/>
      <c r="DK43" s="3"/>
      <c r="DL43" s="3"/>
      <c r="DM43" s="3"/>
    </row>
    <row r="44" ht="19.5" customHeight="1">
      <c r="A44" s="153" t="str">
        <f>'Pelan Pengambilan'!B25</f>
        <v>Pengajar (Penolong Pegawai Kesihatan Persekitaran)</v>
      </c>
      <c r="B44" s="154" t="str">
        <f>'Pelan Pengambilan'!C25</f>
        <v>U9</v>
      </c>
      <c r="C44" s="153" t="str">
        <f t="array" ref="C44">IFERROR(IF(INDEX(Strategi!$F$5:$F$134,MATCH(LARGE(Strategi!$K$5:$K$134,20),Strategi!$K$5:$K$134,0))="","","("&amp;COUNTIFS('Pelan Pengambilan'!$B$6:$B$25,'Pelan Pengambilan'!$B25,'Pelan Pengambilan'!$C$6:$C$25,'Pelan Pengambilan'!$C25)&amp;") "&amp;INDEX(Strategi!$F$5:$F$134,MATCH(LARGE(Strategi!$K$5:$K$134,20),Strategi!$K$5:$K$134,0))),"")</f>
        <v/>
      </c>
      <c r="D44" s="155" t="s">
        <v>275</v>
      </c>
      <c r="E44" s="156">
        <f>IFERROR(IF(COUNT('Pelan Pengambilan'!H25,'Pelan Pengambilan'!J25,'Pelan Pengambilan'!L25,'Pelan Pengambilan'!N25,'Pelan Pengambilan'!P25,'Pelan Pengambilan'!R25,'Pelan Pengambilan'!T25,'Pelan Pengambilan'!V25,'Pelan Pengambilan'!X25,'Pelan Pengambilan'!Z25,'Pelan Pengambilan'!AB25,'Pelan Pengambilan'!AD25)=0,"",COUNT('Pelan Pengambilan'!I25,'Pelan Pengambilan'!K25,'Pelan Pengambilan'!M25,'Pelan Pengambilan'!O25,'Pelan Pengambilan'!Q25,'Pelan Pengambilan'!S25,'Pelan Pengambilan'!U25,'Pelan Pengambilan'!W25,'Pelan Pengambilan'!Y25,'Pelan Pengambilan'!AA25,'Pelan Pengambilan'!AC25,'Pelan Pengambilan'!AE25)/COUNT('Pelan Pengambilan'!H25,'Pelan Pengambilan'!J25,'Pelan Pengambilan'!L25,'Pelan Pengambilan'!N25,'Pelan Pengambilan'!P25,'Pelan Pengambilan'!R25,'Pelan Pengambilan'!T25,'Pelan Pengambilan'!V25,'Pelan Pengambilan'!X25,'Pelan Pengambilan'!Z25,'Pelan Pengambilan'!AB25,'Pelan Pengambilan'!AD25)),"")</f>
        <v>0</v>
      </c>
      <c r="F44" s="157" t="str">
        <f>IFERROR(IF('Pelan Pengambilan'!G25="","",'Pelan Pengambilan'!G25),"")</f>
        <v/>
      </c>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4">
        <f>'Pelan Pengambilan'!AF25</f>
        <v>8</v>
      </c>
      <c r="DI44" s="154"/>
      <c r="DJ44" s="3">
        <f>IFERROR(MIN('Pelan Pengambilan'!H25,'Pelan Pengambilan'!J25,'Pelan Pengambilan'!L25,'Pelan Pengambilan'!N25,'Pelan Pengambilan'!P25,'Pelan Pengambilan'!R25,'Pelan Pengambilan'!T25,'Pelan Pengambilan'!V25,'Pelan Pengambilan'!X25,'Pelan Pengambilan'!Z25,'Pelan Pengambilan'!AB25,'Pelan Pengambilan'!AD25),"")</f>
        <v>46235</v>
      </c>
      <c r="DK44" s="3">
        <f>IFERROR(MAX('Pelan Pengambilan'!H25,'Pelan Pengambilan'!J25,'Pelan Pengambilan'!L25,'Pelan Pengambilan'!N25,'Pelan Pengambilan'!P25,'Pelan Pengambilan'!R25,'Pelan Pengambilan'!T25,'Pelan Pengambilan'!V25,'Pelan Pengambilan'!X25,'Pelan Pengambilan'!Z25,'Pelan Pengambilan'!AB25,'Pelan Pengambilan'!AD25),"")</f>
        <v>46235</v>
      </c>
      <c r="DL44" s="3">
        <f>IFERROR(MIN('Pelan Pengambilan'!I25,'Pelan Pengambilan'!K25,'Pelan Pengambilan'!M25,'Pelan Pengambilan'!O25,'Pelan Pengambilan'!Q25,'Pelan Pengambilan'!S25,'Pelan Pengambilan'!U25,'Pelan Pengambilan'!W25,'Pelan Pengambilan'!Y25,'Pelan Pengambilan'!AA25,'Pelan Pengambilan'!AC25,'Pelan Pengambilan'!AE25),"")</f>
        <v>0</v>
      </c>
      <c r="DM44" s="3">
        <f>IFERROR(MAX('Pelan Pengambilan'!I25,'Pelan Pengambilan'!K25,'Pelan Pengambilan'!M25,'Pelan Pengambilan'!O25,'Pelan Pengambilan'!Q25,'Pelan Pengambilan'!S25,'Pelan Pengambilan'!U25,'Pelan Pengambilan'!W25,'Pelan Pengambilan'!Y25,'Pelan Pengambilan'!AA25,'Pelan Pengambilan'!AC25,'Pelan Pengambilan'!AE25),"")</f>
        <v>0</v>
      </c>
    </row>
    <row r="45" ht="19.5" customHeight="1">
      <c r="A45" s="41"/>
      <c r="B45" s="41"/>
      <c r="C45" s="41"/>
      <c r="D45" s="155" t="s">
        <v>276</v>
      </c>
      <c r="E45" s="41"/>
      <c r="F45" s="41"/>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41"/>
      <c r="DI45" s="41"/>
      <c r="DJ45" s="3"/>
      <c r="DK45" s="3"/>
      <c r="DL45" s="3"/>
      <c r="DM45" s="3"/>
    </row>
    <row r="46" ht="19.5" customHeight="1">
      <c r="A46" s="153" t="str">
        <f>'Pelan Pengambilan'!B26</f>
        <v>Pengajar  (Juruteknologi Pergigian)</v>
      </c>
      <c r="B46" s="154" t="str">
        <f>'Pelan Pengambilan'!C26</f>
        <v>U9</v>
      </c>
      <c r="C46" s="153" t="str">
        <f t="array" ref="C46">IFERROR(IF(INDEX(Strategi!$F$5:$F$134,MATCH(LARGE(Strategi!$K$5:$K$134,21),Strategi!$K$5:$K$134,0))="","","("&amp;COUNTIFS('Pelan Pengambilan'!$B$6:$B$26,'Pelan Pengambilan'!$B26,'Pelan Pengambilan'!$C$6:$C$26,'Pelan Pengambilan'!$C26)&amp;") "&amp;INDEX(Strategi!$F$5:$F$134,MATCH(LARGE(Strategi!$K$5:$K$134,21),Strategi!$K$5:$K$134,0))),"")</f>
        <v/>
      </c>
      <c r="D46" s="155" t="s">
        <v>275</v>
      </c>
      <c r="E46" s="156">
        <f>IFERROR(IF(COUNT('Pelan Pengambilan'!H26,'Pelan Pengambilan'!J26,'Pelan Pengambilan'!L26,'Pelan Pengambilan'!N26,'Pelan Pengambilan'!P26,'Pelan Pengambilan'!R26,'Pelan Pengambilan'!T26,'Pelan Pengambilan'!V26,'Pelan Pengambilan'!X26,'Pelan Pengambilan'!Z26,'Pelan Pengambilan'!AB26,'Pelan Pengambilan'!AD26)=0,"",COUNT('Pelan Pengambilan'!I26,'Pelan Pengambilan'!K26,'Pelan Pengambilan'!M26,'Pelan Pengambilan'!O26,'Pelan Pengambilan'!Q26,'Pelan Pengambilan'!S26,'Pelan Pengambilan'!U26,'Pelan Pengambilan'!W26,'Pelan Pengambilan'!Y26,'Pelan Pengambilan'!AA26,'Pelan Pengambilan'!AC26,'Pelan Pengambilan'!AE26)/COUNT('Pelan Pengambilan'!H26,'Pelan Pengambilan'!J26,'Pelan Pengambilan'!L26,'Pelan Pengambilan'!N26,'Pelan Pengambilan'!P26,'Pelan Pengambilan'!R26,'Pelan Pengambilan'!T26,'Pelan Pengambilan'!V26,'Pelan Pengambilan'!X26,'Pelan Pengambilan'!Z26,'Pelan Pengambilan'!AB26,'Pelan Pengambilan'!AD26)),"")</f>
        <v>0</v>
      </c>
      <c r="F46" s="157" t="str">
        <f>IFERROR(IF('Pelan Pengambilan'!G26="","",'Pelan Pengambilan'!G26),"")</f>
        <v/>
      </c>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4">
        <f>'Pelan Pengambilan'!AF26</f>
        <v>4</v>
      </c>
      <c r="DI46" s="154"/>
      <c r="DJ46" s="3">
        <f>IFERROR(MIN('Pelan Pengambilan'!H26,'Pelan Pengambilan'!J26,'Pelan Pengambilan'!L26,'Pelan Pengambilan'!N26,'Pelan Pengambilan'!P26,'Pelan Pengambilan'!R26,'Pelan Pengambilan'!T26,'Pelan Pengambilan'!V26,'Pelan Pengambilan'!X26,'Pelan Pengambilan'!Z26,'Pelan Pengambilan'!AB26,'Pelan Pengambilan'!AD26),"")</f>
        <v>46235</v>
      </c>
      <c r="DK46" s="3">
        <f>IFERROR(MAX('Pelan Pengambilan'!H26,'Pelan Pengambilan'!J26,'Pelan Pengambilan'!L26,'Pelan Pengambilan'!N26,'Pelan Pengambilan'!P26,'Pelan Pengambilan'!R26,'Pelan Pengambilan'!T26,'Pelan Pengambilan'!V26,'Pelan Pengambilan'!X26,'Pelan Pengambilan'!Z26,'Pelan Pengambilan'!AB26,'Pelan Pengambilan'!AD26),"")</f>
        <v>46235</v>
      </c>
      <c r="DL46" s="3">
        <f>IFERROR(MIN('Pelan Pengambilan'!I26,'Pelan Pengambilan'!K26,'Pelan Pengambilan'!M26,'Pelan Pengambilan'!O26,'Pelan Pengambilan'!Q26,'Pelan Pengambilan'!S26,'Pelan Pengambilan'!U26,'Pelan Pengambilan'!W26,'Pelan Pengambilan'!Y26,'Pelan Pengambilan'!AA26,'Pelan Pengambilan'!AC26,'Pelan Pengambilan'!AE26),"")</f>
        <v>0</v>
      </c>
      <c r="DM46" s="3">
        <f>IFERROR(MAX('Pelan Pengambilan'!I26,'Pelan Pengambilan'!K26,'Pelan Pengambilan'!M26,'Pelan Pengambilan'!O26,'Pelan Pengambilan'!Q26,'Pelan Pengambilan'!S26,'Pelan Pengambilan'!U26,'Pelan Pengambilan'!W26,'Pelan Pengambilan'!Y26,'Pelan Pengambilan'!AA26,'Pelan Pengambilan'!AC26,'Pelan Pengambilan'!AE26),"")</f>
        <v>0</v>
      </c>
    </row>
    <row r="47" ht="19.5" customHeight="1">
      <c r="A47" s="41"/>
      <c r="B47" s="41"/>
      <c r="C47" s="41"/>
      <c r="D47" s="155" t="s">
        <v>276</v>
      </c>
      <c r="E47" s="41"/>
      <c r="F47" s="41"/>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41"/>
      <c r="DI47" s="41"/>
      <c r="DJ47" s="3"/>
      <c r="DK47" s="3"/>
      <c r="DL47" s="3"/>
      <c r="DM47" s="3"/>
    </row>
    <row r="48" ht="19.5" customHeight="1">
      <c r="A48" s="153" t="str">
        <f>'Pelan Pengambilan'!B27</f>
        <v>Pengajar  (Penolong Pegawai Farmasi)</v>
      </c>
      <c r="B48" s="154" t="str">
        <f>'Pelan Pengambilan'!C27</f>
        <v>U9</v>
      </c>
      <c r="C48" s="153" t="str">
        <f t="array" ref="C48">IFERROR(IF(INDEX(Strategi!$F$5:$F$134,MATCH(LARGE(Strategi!$K$5:$K$134,22),Strategi!$K$5:$K$134,0))="","","("&amp;COUNTIFS('Pelan Pengambilan'!$B$6:$B$27,'Pelan Pengambilan'!$B27,'Pelan Pengambilan'!$C$6:$C$27,'Pelan Pengambilan'!$C27)&amp;") "&amp;INDEX(Strategi!$F$5:$F$134,MATCH(LARGE(Strategi!$K$5:$K$134,22),Strategi!$K$5:$K$134,0))),"")</f>
        <v/>
      </c>
      <c r="D48" s="155" t="s">
        <v>275</v>
      </c>
      <c r="E48" s="156">
        <f>IFERROR(IF(COUNT('Pelan Pengambilan'!H27,'Pelan Pengambilan'!J27,'Pelan Pengambilan'!L27,'Pelan Pengambilan'!N27,'Pelan Pengambilan'!P27,'Pelan Pengambilan'!R27,'Pelan Pengambilan'!T27,'Pelan Pengambilan'!V27,'Pelan Pengambilan'!X27,'Pelan Pengambilan'!Z27,'Pelan Pengambilan'!AB27,'Pelan Pengambilan'!AD27)=0,"",COUNT('Pelan Pengambilan'!I27,'Pelan Pengambilan'!K27,'Pelan Pengambilan'!M27,'Pelan Pengambilan'!O27,'Pelan Pengambilan'!Q27,'Pelan Pengambilan'!S27,'Pelan Pengambilan'!U27,'Pelan Pengambilan'!W27,'Pelan Pengambilan'!Y27,'Pelan Pengambilan'!AA27,'Pelan Pengambilan'!AC27,'Pelan Pengambilan'!AE27)/COUNT('Pelan Pengambilan'!H27,'Pelan Pengambilan'!J27,'Pelan Pengambilan'!L27,'Pelan Pengambilan'!N27,'Pelan Pengambilan'!P27,'Pelan Pengambilan'!R27,'Pelan Pengambilan'!T27,'Pelan Pengambilan'!V27,'Pelan Pengambilan'!X27,'Pelan Pengambilan'!Z27,'Pelan Pengambilan'!AB27,'Pelan Pengambilan'!AD27)),"")</f>
        <v>0</v>
      </c>
      <c r="F48" s="157" t="str">
        <f>IFERROR(IF('Pelan Pengambilan'!G27="","",'Pelan Pengambilan'!G27),"")</f>
        <v/>
      </c>
      <c r="G48" s="158"/>
      <c r="H48" s="158"/>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8"/>
      <c r="DD48" s="158"/>
      <c r="DE48" s="158"/>
      <c r="DF48" s="158"/>
      <c r="DG48" s="158"/>
      <c r="DH48" s="154">
        <f>'Pelan Pengambilan'!AF27</f>
        <v>2</v>
      </c>
      <c r="DI48" s="154"/>
      <c r="DJ48" s="159">
        <f>IFERROR(MIN('Pelan Pengambilan'!H27,'Pelan Pengambilan'!J27,'Pelan Pengambilan'!L27,'Pelan Pengambilan'!N27,'Pelan Pengambilan'!P27,'Pelan Pengambilan'!R27,'Pelan Pengambilan'!T27,'Pelan Pengambilan'!V27,'Pelan Pengambilan'!X27,'Pelan Pengambilan'!Z27,'Pelan Pengambilan'!AB27,'Pelan Pengambilan'!AD27),"")</f>
        <v>46235</v>
      </c>
      <c r="DK48" s="159">
        <f>IFERROR(MAX('Pelan Pengambilan'!H27,'Pelan Pengambilan'!J27,'Pelan Pengambilan'!L27,'Pelan Pengambilan'!N27,'Pelan Pengambilan'!P27,'Pelan Pengambilan'!R27,'Pelan Pengambilan'!T27,'Pelan Pengambilan'!V27,'Pelan Pengambilan'!X27,'Pelan Pengambilan'!Z27,'Pelan Pengambilan'!AB27,'Pelan Pengambilan'!AD27),"")</f>
        <v>46235</v>
      </c>
      <c r="DL48" s="3">
        <f>IFERROR(MIN('Pelan Pengambilan'!I27,'Pelan Pengambilan'!K27,'Pelan Pengambilan'!M27,'Pelan Pengambilan'!O27,'Pelan Pengambilan'!Q27,'Pelan Pengambilan'!S27,'Pelan Pengambilan'!U27,'Pelan Pengambilan'!W27,'Pelan Pengambilan'!Y27,'Pelan Pengambilan'!AA27,'Pelan Pengambilan'!AC27,'Pelan Pengambilan'!AE27),"")</f>
        <v>0</v>
      </c>
      <c r="DM48" s="3">
        <f>IFERROR(MAX('Pelan Pengambilan'!I27,'Pelan Pengambilan'!K27,'Pelan Pengambilan'!M27,'Pelan Pengambilan'!O27,'Pelan Pengambilan'!Q27,'Pelan Pengambilan'!S27,'Pelan Pengambilan'!U27,'Pelan Pengambilan'!W27,'Pelan Pengambilan'!Y27,'Pelan Pengambilan'!AA27,'Pelan Pengambilan'!AC27,'Pelan Pengambilan'!AE27),"")</f>
        <v>0</v>
      </c>
    </row>
    <row r="49" ht="19.5" customHeight="1">
      <c r="A49" s="41"/>
      <c r="B49" s="41"/>
      <c r="C49" s="41"/>
      <c r="D49" s="155" t="s">
        <v>276</v>
      </c>
      <c r="E49" s="41"/>
      <c r="F49" s="41"/>
      <c r="G49" s="158"/>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158"/>
      <c r="DE49" s="158"/>
      <c r="DF49" s="158"/>
      <c r="DG49" s="158"/>
      <c r="DH49" s="41"/>
      <c r="DI49" s="41"/>
      <c r="DJ49" s="3"/>
      <c r="DK49" s="3"/>
      <c r="DL49" s="3"/>
      <c r="DM49" s="3"/>
    </row>
    <row r="50" ht="19.5" customHeight="1">
      <c r="A50" s="153" t="str">
        <f>'Pelan Pengambilan'!B28</f>
        <v>Pengajar (Jurupulih Perubatan Carakerja)</v>
      </c>
      <c r="B50" s="154" t="str">
        <f>'Pelan Pengambilan'!C28</f>
        <v>U9</v>
      </c>
      <c r="C50" s="153" t="str">
        <f t="array" ref="C50">IFERROR(IF(INDEX(Strategi!$F$5:$F$134,MATCH(LARGE(Strategi!$K$5:$K$134,23),Strategi!$K$5:$K$134,0))="","","("&amp;COUNTIFS('Pelan Pengambilan'!$B$6:$B$28,'Pelan Pengambilan'!$B28,'Pelan Pengambilan'!$C$6:$C$28,'Pelan Pengambilan'!$C28)&amp;") "&amp;INDEX(Strategi!$F$5:$F$134,MATCH(LARGE(Strategi!$K$5:$K$134,23),Strategi!$K$5:$K$134,0))),"")</f>
        <v/>
      </c>
      <c r="D50" s="155" t="s">
        <v>275</v>
      </c>
      <c r="E50" s="156">
        <f>IFERROR(IF(COUNT('Pelan Pengambilan'!H28,'Pelan Pengambilan'!J28,'Pelan Pengambilan'!L28,'Pelan Pengambilan'!N28,'Pelan Pengambilan'!P28,'Pelan Pengambilan'!R28,'Pelan Pengambilan'!T28,'Pelan Pengambilan'!V28,'Pelan Pengambilan'!X28,'Pelan Pengambilan'!Z28,'Pelan Pengambilan'!AB28,'Pelan Pengambilan'!AD28)=0,"",COUNT('Pelan Pengambilan'!I28,'Pelan Pengambilan'!K28,'Pelan Pengambilan'!M28,'Pelan Pengambilan'!O28,'Pelan Pengambilan'!Q28,'Pelan Pengambilan'!S28,'Pelan Pengambilan'!U28,'Pelan Pengambilan'!W28,'Pelan Pengambilan'!Y28,'Pelan Pengambilan'!AA28,'Pelan Pengambilan'!AC28,'Pelan Pengambilan'!AE28)/COUNT('Pelan Pengambilan'!H28,'Pelan Pengambilan'!J28,'Pelan Pengambilan'!L28,'Pelan Pengambilan'!N28,'Pelan Pengambilan'!P28,'Pelan Pengambilan'!R28,'Pelan Pengambilan'!T28,'Pelan Pengambilan'!V28,'Pelan Pengambilan'!X28,'Pelan Pengambilan'!Z28,'Pelan Pengambilan'!AB28,'Pelan Pengambilan'!AD28)),"")</f>
        <v>0</v>
      </c>
      <c r="F50" s="157" t="str">
        <f>IFERROR(IF('Pelan Pengambilan'!G28="","",'Pelan Pengambilan'!G28),"")</f>
        <v/>
      </c>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4">
        <f>'Pelan Pengambilan'!AF28</f>
        <v>2</v>
      </c>
      <c r="DI50" s="154"/>
      <c r="DJ50" s="159">
        <f>IFERROR(MIN('Pelan Pengambilan'!H28,'Pelan Pengambilan'!J28,'Pelan Pengambilan'!L28,'Pelan Pengambilan'!N28,'Pelan Pengambilan'!P28,'Pelan Pengambilan'!R28,'Pelan Pengambilan'!T28,'Pelan Pengambilan'!V28,'Pelan Pengambilan'!X28,'Pelan Pengambilan'!Z28,'Pelan Pengambilan'!AB28,'Pelan Pengambilan'!AD28),"")</f>
        <v>46209</v>
      </c>
      <c r="DK50" s="159">
        <f>IFERROR(MAX('Pelan Pengambilan'!H28,'Pelan Pengambilan'!J28,'Pelan Pengambilan'!L28,'Pelan Pengambilan'!N28,'Pelan Pengambilan'!P28,'Pelan Pengambilan'!R28,'Pelan Pengambilan'!T28,'Pelan Pengambilan'!V28,'Pelan Pengambilan'!X28,'Pelan Pengambilan'!Z28,'Pelan Pengambilan'!AB28,'Pelan Pengambilan'!AD28),"")</f>
        <v>46345</v>
      </c>
      <c r="DL50" s="160">
        <f>IFERROR(MIN('Pelan Pengambilan'!I28,'Pelan Pengambilan'!K28,'Pelan Pengambilan'!M28,'Pelan Pengambilan'!O28,'Pelan Pengambilan'!Q28,'Pelan Pengambilan'!S28,'Pelan Pengambilan'!U28,'Pelan Pengambilan'!W28,'Pelan Pengambilan'!Y28,'Pelan Pengambilan'!AA28,'Pelan Pengambilan'!AC28,'Pelan Pengambilan'!AE28),"")</f>
        <v>0</v>
      </c>
      <c r="DM50" s="160">
        <f>IFERROR(MAX('Pelan Pengambilan'!I28,'Pelan Pengambilan'!K28,'Pelan Pengambilan'!M28,'Pelan Pengambilan'!O28,'Pelan Pengambilan'!Q28,'Pelan Pengambilan'!S28,'Pelan Pengambilan'!U28,'Pelan Pengambilan'!W28,'Pelan Pengambilan'!Y28,'Pelan Pengambilan'!AA28,'Pelan Pengambilan'!AC28,'Pelan Pengambilan'!AE28),"")</f>
        <v>0</v>
      </c>
    </row>
    <row r="51" ht="19.5" customHeight="1">
      <c r="A51" s="41"/>
      <c r="B51" s="41"/>
      <c r="C51" s="41"/>
      <c r="D51" s="155" t="s">
        <v>276</v>
      </c>
      <c r="E51" s="41"/>
      <c r="F51" s="41"/>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41"/>
      <c r="DI51" s="41"/>
      <c r="DJ51" s="3"/>
      <c r="DK51" s="3"/>
      <c r="DL51" s="3"/>
      <c r="DM51" s="3"/>
    </row>
    <row r="52" ht="19.5" customHeight="1">
      <c r="A52" s="153" t="str">
        <f>'Pelan Pengambilan'!B29</f>
        <v>Pengajar (Radiografi &amp; Radioterapi - Juru X-Ray)</v>
      </c>
      <c r="B52" s="154" t="str">
        <f>'Pelan Pengambilan'!C29</f>
        <v>U9</v>
      </c>
      <c r="C52" s="153" t="str">
        <f t="array" ref="C52">IFERROR(IF(INDEX(Strategi!$F$5:$F$134,MATCH(LARGE(Strategi!$K$5:$K$134,24),Strategi!$K$5:$K$134,0))="","","("&amp;COUNTIFS('Pelan Pengambilan'!$B$6:$B$29,'Pelan Pengambilan'!$B29,'Pelan Pengambilan'!$C$6:$C$29,'Pelan Pengambilan'!$C29)&amp;") "&amp;INDEX(Strategi!$F$5:$F$134,MATCH(LARGE(Strategi!$K$5:$K$134,24),Strategi!$K$5:$K$134,0))),"")</f>
        <v/>
      </c>
      <c r="D52" s="155" t="s">
        <v>275</v>
      </c>
      <c r="E52" s="156">
        <f>IFERROR(IF(COUNT('Pelan Pengambilan'!H29,'Pelan Pengambilan'!J29,'Pelan Pengambilan'!L29,'Pelan Pengambilan'!N29,'Pelan Pengambilan'!P29,'Pelan Pengambilan'!R29,'Pelan Pengambilan'!T29,'Pelan Pengambilan'!V29,'Pelan Pengambilan'!X29,'Pelan Pengambilan'!Z29,'Pelan Pengambilan'!AB29,'Pelan Pengambilan'!AD29)=0,"",COUNT('Pelan Pengambilan'!I29,'Pelan Pengambilan'!K29,'Pelan Pengambilan'!M29,'Pelan Pengambilan'!O29,'Pelan Pengambilan'!Q29,'Pelan Pengambilan'!S29,'Pelan Pengambilan'!U29,'Pelan Pengambilan'!W29,'Pelan Pengambilan'!Y29,'Pelan Pengambilan'!AA29,'Pelan Pengambilan'!AC29,'Pelan Pengambilan'!AE29)/COUNT('Pelan Pengambilan'!H29,'Pelan Pengambilan'!J29,'Pelan Pengambilan'!L29,'Pelan Pengambilan'!N29,'Pelan Pengambilan'!P29,'Pelan Pengambilan'!R29,'Pelan Pengambilan'!T29,'Pelan Pengambilan'!V29,'Pelan Pengambilan'!X29,'Pelan Pengambilan'!Z29,'Pelan Pengambilan'!AB29,'Pelan Pengambilan'!AD29)),"")</f>
        <v>0</v>
      </c>
      <c r="F52" s="157" t="str">
        <f>IFERROR(IF('Pelan Pengambilan'!G29="","",'Pelan Pengambilan'!G29),"")</f>
        <v/>
      </c>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4">
        <f>'Pelan Pengambilan'!AF29</f>
        <v>3</v>
      </c>
      <c r="DI52" s="154"/>
      <c r="DJ52" s="159">
        <f>IFERROR(MIN('Pelan Pengambilan'!H29,'Pelan Pengambilan'!J29,'Pelan Pengambilan'!L29,'Pelan Pengambilan'!N29,'Pelan Pengambilan'!P29,'Pelan Pengambilan'!R29,'Pelan Pengambilan'!T29,'Pelan Pengambilan'!V29,'Pelan Pengambilan'!X29,'Pelan Pengambilan'!Z29,'Pelan Pengambilan'!AB29,'Pelan Pengambilan'!AD29),"")</f>
        <v>46235</v>
      </c>
      <c r="DK52" s="159">
        <f>IFERROR(MAX('Pelan Pengambilan'!H29,'Pelan Pengambilan'!J29,'Pelan Pengambilan'!L29,'Pelan Pengambilan'!N29,'Pelan Pengambilan'!P29,'Pelan Pengambilan'!R29,'Pelan Pengambilan'!T29,'Pelan Pengambilan'!V29,'Pelan Pengambilan'!X29,'Pelan Pengambilan'!Z29,'Pelan Pengambilan'!AB29,'Pelan Pengambilan'!AD29),"")</f>
        <v>46235</v>
      </c>
      <c r="DL52" s="159">
        <f>IFERROR(MIN('Pelan Pengambilan'!I29,'Pelan Pengambilan'!K29,'Pelan Pengambilan'!M29,'Pelan Pengambilan'!O29,'Pelan Pengambilan'!Q29,'Pelan Pengambilan'!S29,'Pelan Pengambilan'!U29,'Pelan Pengambilan'!W29,'Pelan Pengambilan'!Y29,'Pelan Pengambilan'!AA29,'Pelan Pengambilan'!AC29,'Pelan Pengambilan'!AE29),"")</f>
        <v>0</v>
      </c>
      <c r="DM52" s="159">
        <f>IFERROR(MAX('Pelan Pengambilan'!I29,'Pelan Pengambilan'!K29,'Pelan Pengambilan'!M29,'Pelan Pengambilan'!O29,'Pelan Pengambilan'!Q29,'Pelan Pengambilan'!S29,'Pelan Pengambilan'!U29,'Pelan Pengambilan'!W29,'Pelan Pengambilan'!Y29,'Pelan Pengambilan'!AA29,'Pelan Pengambilan'!AC29,'Pelan Pengambilan'!AE29),"")</f>
        <v>0</v>
      </c>
    </row>
    <row r="53" ht="19.5" customHeight="1">
      <c r="A53" s="41"/>
      <c r="B53" s="41"/>
      <c r="C53" s="41"/>
      <c r="D53" s="155" t="s">
        <v>276</v>
      </c>
      <c r="E53" s="41"/>
      <c r="F53" s="41"/>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41"/>
      <c r="DI53" s="41"/>
      <c r="DJ53" s="3"/>
      <c r="DK53" s="3"/>
      <c r="DL53" s="3"/>
      <c r="DM53" s="3"/>
    </row>
    <row r="54" ht="19.5" customHeight="1">
      <c r="A54" s="153" t="str">
        <f>'Pelan Pengambilan'!B30</f>
        <v/>
      </c>
      <c r="B54" s="154" t="str">
        <f>'Pelan Pengambilan'!C30</f>
        <v/>
      </c>
      <c r="C54" s="153" t="str">
        <f t="array" ref="C54">IFERROR(IF(INDEX(Strategi!$F$5:$F$134,MATCH(LARGE(Strategi!$K$5:$K$134,25),Strategi!$K$5:$K$134,0))="","","("&amp;COUNTIFS('Pelan Pengambilan'!$B$6:$B$30,'Pelan Pengambilan'!$B30,'Pelan Pengambilan'!$C$6:$C$30,'Pelan Pengambilan'!$C30)&amp;") "&amp;INDEX(Strategi!$F$5:$F$134,MATCH(LARGE(Strategi!$K$5:$K$134,25),Strategi!$K$5:$K$134,0))),"")</f>
        <v/>
      </c>
      <c r="D54" s="155" t="s">
        <v>275</v>
      </c>
      <c r="E54" s="156" t="str">
        <f>IFERROR(IF(COUNT('Pelan Pengambilan'!H30,'Pelan Pengambilan'!J30,'Pelan Pengambilan'!L30,'Pelan Pengambilan'!N30,'Pelan Pengambilan'!P30,'Pelan Pengambilan'!R30,'Pelan Pengambilan'!T30,'Pelan Pengambilan'!V30,'Pelan Pengambilan'!X30,'Pelan Pengambilan'!Z30,'Pelan Pengambilan'!AB30,'Pelan Pengambilan'!AD30)=0,"",COUNT('Pelan Pengambilan'!I30,'Pelan Pengambilan'!K30,'Pelan Pengambilan'!M30,'Pelan Pengambilan'!O30,'Pelan Pengambilan'!Q30,'Pelan Pengambilan'!S30,'Pelan Pengambilan'!U30,'Pelan Pengambilan'!W30,'Pelan Pengambilan'!Y30,'Pelan Pengambilan'!AA30,'Pelan Pengambilan'!AC30,'Pelan Pengambilan'!AE30)/COUNT('Pelan Pengambilan'!H30,'Pelan Pengambilan'!J30,'Pelan Pengambilan'!L30,'Pelan Pengambilan'!N30,'Pelan Pengambilan'!P30,'Pelan Pengambilan'!R30,'Pelan Pengambilan'!T30,'Pelan Pengambilan'!V30,'Pelan Pengambilan'!X30,'Pelan Pengambilan'!Z30,'Pelan Pengambilan'!AB30,'Pelan Pengambilan'!AD30)),"")</f>
        <v/>
      </c>
      <c r="F54" s="157" t="str">
        <f>IFERROR(IF('Pelan Pengambilan'!G30="","",'Pelan Pengambilan'!G30),"")</f>
        <v/>
      </c>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4" t="str">
        <f>'Pelan Pengambilan'!AF30</f>
        <v/>
      </c>
      <c r="DI54" s="154"/>
      <c r="DJ54" s="159">
        <f>IFERROR(MIN('Pelan Pengambilan'!H30,'Pelan Pengambilan'!J30,'Pelan Pengambilan'!L30,'Pelan Pengambilan'!N30,'Pelan Pengambilan'!P30,'Pelan Pengambilan'!R30,'Pelan Pengambilan'!T30,'Pelan Pengambilan'!V30,'Pelan Pengambilan'!X30,'Pelan Pengambilan'!Z30,'Pelan Pengambilan'!AB30,'Pelan Pengambilan'!AD30),"")</f>
        <v>0</v>
      </c>
      <c r="DK54" s="159">
        <f>IFERROR(MAX('Pelan Pengambilan'!H30,'Pelan Pengambilan'!J30,'Pelan Pengambilan'!L30,'Pelan Pengambilan'!N30,'Pelan Pengambilan'!P30,'Pelan Pengambilan'!R30,'Pelan Pengambilan'!T30,'Pelan Pengambilan'!V30,'Pelan Pengambilan'!X30,'Pelan Pengambilan'!Z30,'Pelan Pengambilan'!AB30,'Pelan Pengambilan'!AD30),"")</f>
        <v>0</v>
      </c>
      <c r="DL54" s="159">
        <f>IFERROR(MIN('Pelan Pengambilan'!I30,'Pelan Pengambilan'!K30,'Pelan Pengambilan'!M30,'Pelan Pengambilan'!O30,'Pelan Pengambilan'!Q30,'Pelan Pengambilan'!S30,'Pelan Pengambilan'!U30,'Pelan Pengambilan'!W30,'Pelan Pengambilan'!Y30,'Pelan Pengambilan'!AA30,'Pelan Pengambilan'!AC30,'Pelan Pengambilan'!AE30),"")</f>
        <v>0</v>
      </c>
      <c r="DM54" s="159">
        <f>IFERROR(MAX('Pelan Pengambilan'!I30,'Pelan Pengambilan'!K30,'Pelan Pengambilan'!M30,'Pelan Pengambilan'!O30,'Pelan Pengambilan'!Q30,'Pelan Pengambilan'!S30,'Pelan Pengambilan'!U30,'Pelan Pengambilan'!W30,'Pelan Pengambilan'!Y30,'Pelan Pengambilan'!AA30,'Pelan Pengambilan'!AC30,'Pelan Pengambilan'!AE30),"")</f>
        <v>0</v>
      </c>
    </row>
    <row r="55" ht="19.5" customHeight="1">
      <c r="A55" s="41"/>
      <c r="B55" s="41"/>
      <c r="C55" s="41"/>
      <c r="D55" s="155" t="s">
        <v>276</v>
      </c>
      <c r="E55" s="41"/>
      <c r="F55" s="41"/>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41"/>
      <c r="DI55" s="41"/>
      <c r="DJ55" s="3"/>
      <c r="DK55" s="3"/>
      <c r="DL55" s="3"/>
      <c r="DM55" s="3"/>
    </row>
    <row r="56" ht="19.5" customHeight="1">
      <c r="A56" s="153" t="str">
        <f>'Pelan Pengambilan'!B31</f>
        <v/>
      </c>
      <c r="B56" s="154" t="str">
        <f>'Pelan Pengambilan'!C31</f>
        <v/>
      </c>
      <c r="C56" s="153" t="str">
        <f t="array" ref="C56">IFERROR(IF(INDEX(Strategi!$F$5:$F$134,MATCH(LARGE(Strategi!$K$5:$K$134,26),Strategi!$K$5:$K$134,0))="","","("&amp;COUNTIFS('Pelan Pengambilan'!$B$6:$B$31,'Pelan Pengambilan'!$B31,'Pelan Pengambilan'!$C$6:$C$31,'Pelan Pengambilan'!$C31)&amp;") "&amp;INDEX(Strategi!$F$5:$F$134,MATCH(LARGE(Strategi!$K$5:$K$134,26),Strategi!$K$5:$K$134,0))),"")</f>
        <v/>
      </c>
      <c r="D56" s="155" t="s">
        <v>275</v>
      </c>
      <c r="E56" s="156" t="str">
        <f>IFERROR(IF(COUNT('Pelan Pengambilan'!H31,'Pelan Pengambilan'!J31,'Pelan Pengambilan'!L31,'Pelan Pengambilan'!N31,'Pelan Pengambilan'!P31,'Pelan Pengambilan'!R31,'Pelan Pengambilan'!T31,'Pelan Pengambilan'!V31,'Pelan Pengambilan'!X31,'Pelan Pengambilan'!Z31,'Pelan Pengambilan'!AB31,'Pelan Pengambilan'!AD31)=0,"",COUNT('Pelan Pengambilan'!I31,'Pelan Pengambilan'!K31,'Pelan Pengambilan'!M31,'Pelan Pengambilan'!O31,'Pelan Pengambilan'!Q31,'Pelan Pengambilan'!S31,'Pelan Pengambilan'!U31,'Pelan Pengambilan'!W31,'Pelan Pengambilan'!Y31,'Pelan Pengambilan'!AA31,'Pelan Pengambilan'!AC31,'Pelan Pengambilan'!AE31)/COUNT('Pelan Pengambilan'!H31,'Pelan Pengambilan'!J31,'Pelan Pengambilan'!L31,'Pelan Pengambilan'!N31,'Pelan Pengambilan'!P31,'Pelan Pengambilan'!R31,'Pelan Pengambilan'!T31,'Pelan Pengambilan'!V31,'Pelan Pengambilan'!X31,'Pelan Pengambilan'!Z31,'Pelan Pengambilan'!AB31,'Pelan Pengambilan'!AD31)),"")</f>
        <v/>
      </c>
      <c r="F56" s="157" t="str">
        <f>IFERROR(IF('Pelan Pengambilan'!G31="","",'Pelan Pengambilan'!G31),"")</f>
        <v/>
      </c>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4" t="str">
        <f>'Pelan Pengambilan'!AF31</f>
        <v/>
      </c>
      <c r="DI56" s="154"/>
      <c r="DJ56" s="159">
        <f>IFERROR(MIN('Pelan Pengambilan'!H31,'Pelan Pengambilan'!J31,'Pelan Pengambilan'!L31,'Pelan Pengambilan'!N31,'Pelan Pengambilan'!P31,'Pelan Pengambilan'!R31,'Pelan Pengambilan'!T31,'Pelan Pengambilan'!V31,'Pelan Pengambilan'!X31,'Pelan Pengambilan'!Z31,'Pelan Pengambilan'!AB31,'Pelan Pengambilan'!AD31),"")</f>
        <v>0</v>
      </c>
      <c r="DK56" s="159">
        <f>IFERROR(MAX('Pelan Pengambilan'!H31,'Pelan Pengambilan'!J31,'Pelan Pengambilan'!L31,'Pelan Pengambilan'!N31,'Pelan Pengambilan'!P31,'Pelan Pengambilan'!R31,'Pelan Pengambilan'!T31,'Pelan Pengambilan'!V31,'Pelan Pengambilan'!X31,'Pelan Pengambilan'!Z31,'Pelan Pengambilan'!AB31,'Pelan Pengambilan'!AD31),"")</f>
        <v>0</v>
      </c>
      <c r="DL56" s="159">
        <f>IFERROR(MIN('Pelan Pengambilan'!I31,'Pelan Pengambilan'!K31,'Pelan Pengambilan'!M31,'Pelan Pengambilan'!O31,'Pelan Pengambilan'!Q31,'Pelan Pengambilan'!S31,'Pelan Pengambilan'!U31,'Pelan Pengambilan'!W31,'Pelan Pengambilan'!Y31,'Pelan Pengambilan'!AA31,'Pelan Pengambilan'!AC31,'Pelan Pengambilan'!AE31),"")</f>
        <v>0</v>
      </c>
      <c r="DM56" s="159">
        <f>IFERROR(MAX('Pelan Pengambilan'!I31,'Pelan Pengambilan'!K31,'Pelan Pengambilan'!M31,'Pelan Pengambilan'!O31,'Pelan Pengambilan'!Q31,'Pelan Pengambilan'!S31,'Pelan Pengambilan'!U31,'Pelan Pengambilan'!W31,'Pelan Pengambilan'!Y31,'Pelan Pengambilan'!AA31,'Pelan Pengambilan'!AC31,'Pelan Pengambilan'!AE31),"")</f>
        <v>0</v>
      </c>
    </row>
    <row r="57" ht="19.5" customHeight="1">
      <c r="A57" s="41"/>
      <c r="B57" s="41"/>
      <c r="C57" s="41"/>
      <c r="D57" s="155" t="s">
        <v>276</v>
      </c>
      <c r="E57" s="41"/>
      <c r="F57" s="41"/>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41"/>
      <c r="DI57" s="41"/>
      <c r="DJ57" s="3"/>
      <c r="DK57" s="3"/>
      <c r="DL57" s="3"/>
      <c r="DM57" s="3"/>
    </row>
    <row r="58" ht="19.5" customHeight="1">
      <c r="A58" s="153" t="str">
        <f>'Pelan Pengambilan'!B32</f>
        <v/>
      </c>
      <c r="B58" s="154" t="str">
        <f>'Pelan Pengambilan'!C32</f>
        <v/>
      </c>
      <c r="C58" s="153" t="str">
        <f t="array" ref="C58">IFERROR(IF(INDEX(Strategi!$F$5:$F$134,MATCH(LARGE(Strategi!$K$5:$K$134,27),Strategi!$K$5:$K$134,0))="","","("&amp;COUNTIFS('Pelan Pengambilan'!$B$6:$B$32,'Pelan Pengambilan'!$B32,'Pelan Pengambilan'!$C$6:$C$32,'Pelan Pengambilan'!$C32)&amp;") "&amp;INDEX(Strategi!$F$5:$F$134,MATCH(LARGE(Strategi!$K$5:$K$134,27),Strategi!$K$5:$K$134,0))),"")</f>
        <v/>
      </c>
      <c r="D58" s="155" t="s">
        <v>275</v>
      </c>
      <c r="E58" s="156" t="str">
        <f>IFERROR(IF(COUNT('Pelan Pengambilan'!H32,'Pelan Pengambilan'!J32,'Pelan Pengambilan'!L32,'Pelan Pengambilan'!N32,'Pelan Pengambilan'!P32,'Pelan Pengambilan'!R32,'Pelan Pengambilan'!T32,'Pelan Pengambilan'!V32,'Pelan Pengambilan'!X32,'Pelan Pengambilan'!Z32,'Pelan Pengambilan'!AB32,'Pelan Pengambilan'!AD32)=0,"",COUNT('Pelan Pengambilan'!I32,'Pelan Pengambilan'!K32,'Pelan Pengambilan'!M32,'Pelan Pengambilan'!O32,'Pelan Pengambilan'!Q32,'Pelan Pengambilan'!S32,'Pelan Pengambilan'!U32,'Pelan Pengambilan'!W32,'Pelan Pengambilan'!Y32,'Pelan Pengambilan'!AA32,'Pelan Pengambilan'!AC32,'Pelan Pengambilan'!AE32)/COUNT('Pelan Pengambilan'!H32,'Pelan Pengambilan'!J32,'Pelan Pengambilan'!L32,'Pelan Pengambilan'!N32,'Pelan Pengambilan'!P32,'Pelan Pengambilan'!R32,'Pelan Pengambilan'!T32,'Pelan Pengambilan'!V32,'Pelan Pengambilan'!X32,'Pelan Pengambilan'!Z32,'Pelan Pengambilan'!AB32,'Pelan Pengambilan'!AD32)),"")</f>
        <v/>
      </c>
      <c r="F58" s="157" t="str">
        <f>IFERROR(IF('Pelan Pengambilan'!G32="","",'Pelan Pengambilan'!G32),"")</f>
        <v/>
      </c>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158"/>
      <c r="DD58" s="158"/>
      <c r="DE58" s="158"/>
      <c r="DF58" s="158"/>
      <c r="DG58" s="158"/>
      <c r="DH58" s="154" t="str">
        <f>'Pelan Pengambilan'!AF32</f>
        <v/>
      </c>
      <c r="DI58" s="154"/>
      <c r="DJ58" s="159">
        <f>IFERROR(MIN('Pelan Pengambilan'!H32,'Pelan Pengambilan'!J32,'Pelan Pengambilan'!L32,'Pelan Pengambilan'!N32,'Pelan Pengambilan'!P32,'Pelan Pengambilan'!R32,'Pelan Pengambilan'!T32,'Pelan Pengambilan'!V32,'Pelan Pengambilan'!X32,'Pelan Pengambilan'!Z32,'Pelan Pengambilan'!AB32,'Pelan Pengambilan'!AD32),"")</f>
        <v>0</v>
      </c>
      <c r="DK58" s="159">
        <f>IFERROR(MAX('Pelan Pengambilan'!H32,'Pelan Pengambilan'!J32,'Pelan Pengambilan'!L32,'Pelan Pengambilan'!N32,'Pelan Pengambilan'!P32,'Pelan Pengambilan'!R32,'Pelan Pengambilan'!T32,'Pelan Pengambilan'!V32,'Pelan Pengambilan'!X32,'Pelan Pengambilan'!Z32,'Pelan Pengambilan'!AB32,'Pelan Pengambilan'!AD32),"")</f>
        <v>0</v>
      </c>
      <c r="DL58" s="159">
        <f>IFERROR(MIN('Pelan Pengambilan'!I32,'Pelan Pengambilan'!K32,'Pelan Pengambilan'!M32,'Pelan Pengambilan'!O32,'Pelan Pengambilan'!Q32,'Pelan Pengambilan'!S32,'Pelan Pengambilan'!U32,'Pelan Pengambilan'!W32,'Pelan Pengambilan'!Y32,'Pelan Pengambilan'!AA32,'Pelan Pengambilan'!AC32,'Pelan Pengambilan'!AE32),"")</f>
        <v>0</v>
      </c>
      <c r="DM58" s="159">
        <f>IFERROR(MAX('Pelan Pengambilan'!I32,'Pelan Pengambilan'!K32,'Pelan Pengambilan'!M32,'Pelan Pengambilan'!O32,'Pelan Pengambilan'!Q32,'Pelan Pengambilan'!S32,'Pelan Pengambilan'!U32,'Pelan Pengambilan'!W32,'Pelan Pengambilan'!Y32,'Pelan Pengambilan'!AA32,'Pelan Pengambilan'!AC32,'Pelan Pengambilan'!AE32),"")</f>
        <v>0</v>
      </c>
    </row>
    <row r="59" ht="19.5" customHeight="1">
      <c r="A59" s="41"/>
      <c r="B59" s="41"/>
      <c r="C59" s="41"/>
      <c r="D59" s="155" t="s">
        <v>276</v>
      </c>
      <c r="E59" s="41"/>
      <c r="F59" s="41"/>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158"/>
      <c r="DE59" s="158"/>
      <c r="DF59" s="158"/>
      <c r="DG59" s="158"/>
      <c r="DH59" s="41"/>
      <c r="DI59" s="41"/>
      <c r="DJ59" s="3"/>
      <c r="DK59" s="3"/>
      <c r="DL59" s="3"/>
      <c r="DM59" s="3"/>
    </row>
    <row r="60" ht="19.5" customHeight="1">
      <c r="A60" s="153" t="str">
        <f>'Pelan Pengambilan'!B33</f>
        <v/>
      </c>
      <c r="B60" s="154" t="str">
        <f>'Pelan Pengambilan'!C33</f>
        <v/>
      </c>
      <c r="C60" s="153" t="str">
        <f t="array" ref="C60">IFERROR(IF(INDEX(Strategi!$F$5:$F$134,MATCH(LARGE(Strategi!$K$5:$K$134,28),Strategi!$K$5:$K$134,0))="","","("&amp;COUNTIFS('Pelan Pengambilan'!$B$6:$B$33,'Pelan Pengambilan'!$B33,'Pelan Pengambilan'!$C$6:$C$33,'Pelan Pengambilan'!$C33)&amp;") "&amp;INDEX(Strategi!$F$5:$F$134,MATCH(LARGE(Strategi!$K$5:$K$134,28),Strategi!$K$5:$K$134,0))),"")</f>
        <v/>
      </c>
      <c r="D60" s="155" t="s">
        <v>275</v>
      </c>
      <c r="E60" s="156" t="str">
        <f>IFERROR(IF(COUNT('Pelan Pengambilan'!H33,'Pelan Pengambilan'!J33,'Pelan Pengambilan'!L33,'Pelan Pengambilan'!N33,'Pelan Pengambilan'!P33,'Pelan Pengambilan'!R33,'Pelan Pengambilan'!T33,'Pelan Pengambilan'!V33,'Pelan Pengambilan'!X33,'Pelan Pengambilan'!Z33,'Pelan Pengambilan'!AB33,'Pelan Pengambilan'!AD33)=0,"",COUNT('Pelan Pengambilan'!I33,'Pelan Pengambilan'!K33,'Pelan Pengambilan'!M33,'Pelan Pengambilan'!O33,'Pelan Pengambilan'!Q33,'Pelan Pengambilan'!S33,'Pelan Pengambilan'!U33,'Pelan Pengambilan'!W33,'Pelan Pengambilan'!Y33,'Pelan Pengambilan'!AA33,'Pelan Pengambilan'!AC33,'Pelan Pengambilan'!AE33)/COUNT('Pelan Pengambilan'!H33,'Pelan Pengambilan'!J33,'Pelan Pengambilan'!L33,'Pelan Pengambilan'!N33,'Pelan Pengambilan'!P33,'Pelan Pengambilan'!R33,'Pelan Pengambilan'!T33,'Pelan Pengambilan'!V33,'Pelan Pengambilan'!X33,'Pelan Pengambilan'!Z33,'Pelan Pengambilan'!AB33,'Pelan Pengambilan'!AD33)),"")</f>
        <v/>
      </c>
      <c r="F60" s="157" t="str">
        <f>IFERROR(IF('Pelan Pengambilan'!G33="","",'Pelan Pengambilan'!G33),"")</f>
        <v/>
      </c>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4" t="str">
        <f>'Pelan Pengambilan'!AF33</f>
        <v/>
      </c>
      <c r="DI60" s="154"/>
      <c r="DJ60" s="159">
        <f>IFERROR(MIN('Pelan Pengambilan'!H33,'Pelan Pengambilan'!J33,'Pelan Pengambilan'!L33,'Pelan Pengambilan'!N33,'Pelan Pengambilan'!P33,'Pelan Pengambilan'!R33,'Pelan Pengambilan'!T33,'Pelan Pengambilan'!V33,'Pelan Pengambilan'!X33,'Pelan Pengambilan'!Z33,'Pelan Pengambilan'!AB33,'Pelan Pengambilan'!AD33),"")</f>
        <v>0</v>
      </c>
      <c r="DK60" s="159">
        <f>IFERROR(MAX('Pelan Pengambilan'!H33,'Pelan Pengambilan'!J33,'Pelan Pengambilan'!L33,'Pelan Pengambilan'!N33,'Pelan Pengambilan'!P33,'Pelan Pengambilan'!R33,'Pelan Pengambilan'!T33,'Pelan Pengambilan'!V33,'Pelan Pengambilan'!X33,'Pelan Pengambilan'!Z33,'Pelan Pengambilan'!AB33,'Pelan Pengambilan'!AD33),"")</f>
        <v>0</v>
      </c>
      <c r="DL60" s="159">
        <f>IFERROR(MIN('Pelan Pengambilan'!I33,'Pelan Pengambilan'!K33,'Pelan Pengambilan'!M33,'Pelan Pengambilan'!O33,'Pelan Pengambilan'!Q33,'Pelan Pengambilan'!S33,'Pelan Pengambilan'!U33,'Pelan Pengambilan'!W33,'Pelan Pengambilan'!Y33,'Pelan Pengambilan'!AA33,'Pelan Pengambilan'!AC33,'Pelan Pengambilan'!AE33),"")</f>
        <v>0</v>
      </c>
      <c r="DM60" s="159">
        <f>IFERROR(MAX('Pelan Pengambilan'!I33,'Pelan Pengambilan'!K33,'Pelan Pengambilan'!M33,'Pelan Pengambilan'!O33,'Pelan Pengambilan'!Q33,'Pelan Pengambilan'!S33,'Pelan Pengambilan'!U33,'Pelan Pengambilan'!W33,'Pelan Pengambilan'!Y33,'Pelan Pengambilan'!AA33,'Pelan Pengambilan'!AC33,'Pelan Pengambilan'!AE33),"")</f>
        <v>0</v>
      </c>
    </row>
    <row r="61" ht="19.5" customHeight="1">
      <c r="A61" s="41"/>
      <c r="B61" s="41"/>
      <c r="C61" s="41"/>
      <c r="D61" s="155" t="s">
        <v>276</v>
      </c>
      <c r="E61" s="41"/>
      <c r="F61" s="41"/>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41"/>
      <c r="DI61" s="41"/>
      <c r="DJ61" s="3"/>
      <c r="DK61" s="3"/>
      <c r="DL61" s="3"/>
      <c r="DM61" s="3"/>
    </row>
    <row r="62" ht="19.5" customHeight="1">
      <c r="A62" s="153" t="str">
        <f>'Pelan Pengambilan'!B34</f>
        <v/>
      </c>
      <c r="B62" s="154" t="str">
        <f>'Pelan Pengambilan'!C34</f>
        <v/>
      </c>
      <c r="C62" s="153" t="str">
        <f t="array" ref="C62">IFERROR(IF(INDEX(Strategi!$F$5:$F$134,MATCH(LARGE(Strategi!$K$5:$K$134,29),Strategi!$K$5:$K$134,0))="","","("&amp;COUNTIFS('Pelan Pengambilan'!$B$6:$B$34,'Pelan Pengambilan'!$B34,'Pelan Pengambilan'!$C$6:$C$34,'Pelan Pengambilan'!$C34)&amp;") "&amp;INDEX(Strategi!$F$5:$F$134,MATCH(LARGE(Strategi!$K$5:$K$134,29),Strategi!$K$5:$K$134,0))),"")</f>
        <v/>
      </c>
      <c r="D62" s="155" t="s">
        <v>275</v>
      </c>
      <c r="E62" s="156" t="str">
        <f>IFERROR(IF(COUNT('Pelan Pengambilan'!H34,'Pelan Pengambilan'!J34,'Pelan Pengambilan'!L34,'Pelan Pengambilan'!N34,'Pelan Pengambilan'!P34,'Pelan Pengambilan'!R34,'Pelan Pengambilan'!T34,'Pelan Pengambilan'!V34,'Pelan Pengambilan'!X34,'Pelan Pengambilan'!Z34,'Pelan Pengambilan'!AB34,'Pelan Pengambilan'!AD34)=0,"",COUNT('Pelan Pengambilan'!I34,'Pelan Pengambilan'!K34,'Pelan Pengambilan'!M34,'Pelan Pengambilan'!O34,'Pelan Pengambilan'!Q34,'Pelan Pengambilan'!S34,'Pelan Pengambilan'!U34,'Pelan Pengambilan'!W34,'Pelan Pengambilan'!Y34,'Pelan Pengambilan'!AA34,'Pelan Pengambilan'!AC34,'Pelan Pengambilan'!AE34)/COUNT('Pelan Pengambilan'!H34,'Pelan Pengambilan'!J34,'Pelan Pengambilan'!L34,'Pelan Pengambilan'!N34,'Pelan Pengambilan'!P34,'Pelan Pengambilan'!R34,'Pelan Pengambilan'!T34,'Pelan Pengambilan'!V34,'Pelan Pengambilan'!X34,'Pelan Pengambilan'!Z34,'Pelan Pengambilan'!AB34,'Pelan Pengambilan'!AD34)),"")</f>
        <v/>
      </c>
      <c r="F62" s="157" t="str">
        <f>IFERROR(IF('Pelan Pengambilan'!G34="","",'Pelan Pengambilan'!G34),"")</f>
        <v/>
      </c>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4" t="str">
        <f>'Pelan Pengambilan'!AF34</f>
        <v/>
      </c>
      <c r="DI62" s="154"/>
      <c r="DJ62" s="159">
        <f>IFERROR(MIN('Pelan Pengambilan'!H34,'Pelan Pengambilan'!J34,'Pelan Pengambilan'!L34,'Pelan Pengambilan'!N34,'Pelan Pengambilan'!P34,'Pelan Pengambilan'!R34,'Pelan Pengambilan'!T34,'Pelan Pengambilan'!V34,'Pelan Pengambilan'!X34,'Pelan Pengambilan'!Z34,'Pelan Pengambilan'!AB34,'Pelan Pengambilan'!AD34),"")</f>
        <v>0</v>
      </c>
      <c r="DK62" s="159">
        <f>IFERROR(MAX('Pelan Pengambilan'!H34,'Pelan Pengambilan'!J34,'Pelan Pengambilan'!L34,'Pelan Pengambilan'!N34,'Pelan Pengambilan'!P34,'Pelan Pengambilan'!R34,'Pelan Pengambilan'!T34,'Pelan Pengambilan'!V34,'Pelan Pengambilan'!X34,'Pelan Pengambilan'!Z34,'Pelan Pengambilan'!AB34,'Pelan Pengambilan'!AD34),"")</f>
        <v>0</v>
      </c>
      <c r="DL62" s="159">
        <f>IFERROR(MIN('Pelan Pengambilan'!I34,'Pelan Pengambilan'!K34,'Pelan Pengambilan'!M34,'Pelan Pengambilan'!O34,'Pelan Pengambilan'!Q34,'Pelan Pengambilan'!S34,'Pelan Pengambilan'!U34,'Pelan Pengambilan'!W34,'Pelan Pengambilan'!Y34,'Pelan Pengambilan'!AA34,'Pelan Pengambilan'!AC34,'Pelan Pengambilan'!AE34),"")</f>
        <v>0</v>
      </c>
      <c r="DM62" s="159">
        <f>IFERROR(MAX('Pelan Pengambilan'!I34,'Pelan Pengambilan'!K34,'Pelan Pengambilan'!M34,'Pelan Pengambilan'!O34,'Pelan Pengambilan'!Q34,'Pelan Pengambilan'!S34,'Pelan Pengambilan'!U34,'Pelan Pengambilan'!W34,'Pelan Pengambilan'!Y34,'Pelan Pengambilan'!AA34,'Pelan Pengambilan'!AC34,'Pelan Pengambilan'!AE34),"")</f>
        <v>0</v>
      </c>
    </row>
    <row r="63" ht="19.5" customHeight="1">
      <c r="A63" s="41"/>
      <c r="B63" s="41"/>
      <c r="C63" s="41"/>
      <c r="D63" s="155" t="s">
        <v>276</v>
      </c>
      <c r="E63" s="41"/>
      <c r="F63" s="41"/>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158"/>
      <c r="DE63" s="158"/>
      <c r="DF63" s="158"/>
      <c r="DG63" s="158"/>
      <c r="DH63" s="41"/>
      <c r="DI63" s="41"/>
      <c r="DJ63" s="3"/>
      <c r="DK63" s="3"/>
      <c r="DL63" s="3"/>
      <c r="DM63" s="3"/>
    </row>
    <row r="64" ht="19.5" customHeight="1">
      <c r="A64" s="153" t="str">
        <f>'Pelan Pengambilan'!B35</f>
        <v/>
      </c>
      <c r="B64" s="154" t="str">
        <f>'Pelan Pengambilan'!C35</f>
        <v/>
      </c>
      <c r="C64" s="153" t="str">
        <f t="array" ref="C64">IFERROR(IF(INDEX(Strategi!$F$5:$F$134,MATCH(LARGE(Strategi!$K$5:$K$134,30),Strategi!$K$5:$K$134,0))="","","("&amp;COUNTIFS('Pelan Pengambilan'!$B$6:$B$35,'Pelan Pengambilan'!$B35,'Pelan Pengambilan'!$C$6:$C$35,'Pelan Pengambilan'!$C35)&amp;") "&amp;INDEX(Strategi!$F$5:$F$134,MATCH(LARGE(Strategi!$K$5:$K$134,30),Strategi!$K$5:$K$134,0))),"")</f>
        <v/>
      </c>
      <c r="D64" s="155" t="s">
        <v>275</v>
      </c>
      <c r="E64" s="156" t="str">
        <f>IFERROR(IF(COUNT('Pelan Pengambilan'!H35,'Pelan Pengambilan'!J35,'Pelan Pengambilan'!L35,'Pelan Pengambilan'!N35,'Pelan Pengambilan'!P35,'Pelan Pengambilan'!R35,'Pelan Pengambilan'!T35,'Pelan Pengambilan'!V35,'Pelan Pengambilan'!X35,'Pelan Pengambilan'!Z35,'Pelan Pengambilan'!AB35,'Pelan Pengambilan'!AD35)=0,"",COUNT('Pelan Pengambilan'!I35,'Pelan Pengambilan'!K35,'Pelan Pengambilan'!M35,'Pelan Pengambilan'!O35,'Pelan Pengambilan'!Q35,'Pelan Pengambilan'!S35,'Pelan Pengambilan'!U35,'Pelan Pengambilan'!W35,'Pelan Pengambilan'!Y35,'Pelan Pengambilan'!AA35,'Pelan Pengambilan'!AC35,'Pelan Pengambilan'!AE35)/COUNT('Pelan Pengambilan'!H35,'Pelan Pengambilan'!J35,'Pelan Pengambilan'!L35,'Pelan Pengambilan'!N35,'Pelan Pengambilan'!P35,'Pelan Pengambilan'!R35,'Pelan Pengambilan'!T35,'Pelan Pengambilan'!V35,'Pelan Pengambilan'!X35,'Pelan Pengambilan'!Z35,'Pelan Pengambilan'!AB35,'Pelan Pengambilan'!AD35)),"")</f>
        <v/>
      </c>
      <c r="F64" s="157" t="str">
        <f>IFERROR(IF('Pelan Pengambilan'!G35="","",'Pelan Pengambilan'!G35),"")</f>
        <v/>
      </c>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4" t="str">
        <f>'Pelan Pengambilan'!AF35</f>
        <v/>
      </c>
      <c r="DI64" s="154"/>
      <c r="DJ64" s="159">
        <f>IFERROR(MIN('Pelan Pengambilan'!H35,'Pelan Pengambilan'!J35,'Pelan Pengambilan'!L35,'Pelan Pengambilan'!N35,'Pelan Pengambilan'!P35,'Pelan Pengambilan'!R35,'Pelan Pengambilan'!T35,'Pelan Pengambilan'!V35,'Pelan Pengambilan'!X35,'Pelan Pengambilan'!Z35,'Pelan Pengambilan'!AB35,'Pelan Pengambilan'!AD35),"")</f>
        <v>0</v>
      </c>
      <c r="DK64" s="159">
        <f>IFERROR(MAX('Pelan Pengambilan'!H35,'Pelan Pengambilan'!J35,'Pelan Pengambilan'!L35,'Pelan Pengambilan'!N35,'Pelan Pengambilan'!P35,'Pelan Pengambilan'!R35,'Pelan Pengambilan'!T35,'Pelan Pengambilan'!V35,'Pelan Pengambilan'!X35,'Pelan Pengambilan'!Z35,'Pelan Pengambilan'!AB35,'Pelan Pengambilan'!AD35),"")</f>
        <v>0</v>
      </c>
      <c r="DL64" s="159">
        <f>IFERROR(MIN('Pelan Pengambilan'!I35,'Pelan Pengambilan'!K35,'Pelan Pengambilan'!M35,'Pelan Pengambilan'!O35,'Pelan Pengambilan'!Q35,'Pelan Pengambilan'!S35,'Pelan Pengambilan'!U35,'Pelan Pengambilan'!W35,'Pelan Pengambilan'!Y35,'Pelan Pengambilan'!AA35,'Pelan Pengambilan'!AC35,'Pelan Pengambilan'!AE35),"")</f>
        <v>0</v>
      </c>
      <c r="DM64" s="159">
        <f>IFERROR(MAX('Pelan Pengambilan'!I35,'Pelan Pengambilan'!K35,'Pelan Pengambilan'!M35,'Pelan Pengambilan'!O35,'Pelan Pengambilan'!Q35,'Pelan Pengambilan'!S35,'Pelan Pengambilan'!U35,'Pelan Pengambilan'!W35,'Pelan Pengambilan'!Y35,'Pelan Pengambilan'!AA35,'Pelan Pengambilan'!AC35,'Pelan Pengambilan'!AE35),"")</f>
        <v>0</v>
      </c>
    </row>
    <row r="65" ht="19.5" customHeight="1">
      <c r="A65" s="41"/>
      <c r="B65" s="41"/>
      <c r="C65" s="41"/>
      <c r="D65" s="155" t="s">
        <v>276</v>
      </c>
      <c r="E65" s="41"/>
      <c r="F65" s="41"/>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158"/>
      <c r="DE65" s="158"/>
      <c r="DF65" s="158"/>
      <c r="DG65" s="158"/>
      <c r="DH65" s="41"/>
      <c r="DI65" s="41"/>
      <c r="DJ65" s="3"/>
      <c r="DK65" s="3"/>
      <c r="DL65" s="3"/>
      <c r="DM65" s="3"/>
    </row>
    <row r="66" ht="19.5" customHeight="1">
      <c r="A66" s="153" t="str">
        <f>'Pelan Pengambilan'!B36</f>
        <v/>
      </c>
      <c r="B66" s="154" t="str">
        <f>'Pelan Pengambilan'!C36</f>
        <v/>
      </c>
      <c r="C66" s="153" t="str">
        <f t="array" ref="C66">IFERROR(IF(INDEX(Strategi!$F$5:$F$134,MATCH(LARGE(Strategi!$K$5:$K$134,31),Strategi!$K$5:$K$134,0))="","","("&amp;COUNTIFS('Pelan Pengambilan'!$B$6:$B$36,'Pelan Pengambilan'!$B36,'Pelan Pengambilan'!$C$6:$C$36,'Pelan Pengambilan'!$C36)&amp;") "&amp;INDEX(Strategi!$F$5:$F$134,MATCH(LARGE(Strategi!$K$5:$K$134,31),Strategi!$K$5:$K$134,0))),"")</f>
        <v/>
      </c>
      <c r="D66" s="155" t="s">
        <v>275</v>
      </c>
      <c r="E66" s="156" t="str">
        <f>IFERROR(IF(COUNT('Pelan Pengambilan'!H36,'Pelan Pengambilan'!J36,'Pelan Pengambilan'!L36,'Pelan Pengambilan'!N36,'Pelan Pengambilan'!P36,'Pelan Pengambilan'!R36,'Pelan Pengambilan'!T36,'Pelan Pengambilan'!V36,'Pelan Pengambilan'!X36,'Pelan Pengambilan'!Z36,'Pelan Pengambilan'!AB36,'Pelan Pengambilan'!AD36)=0,"",COUNT('Pelan Pengambilan'!I36,'Pelan Pengambilan'!K36,'Pelan Pengambilan'!M36,'Pelan Pengambilan'!O36,'Pelan Pengambilan'!Q36,'Pelan Pengambilan'!S36,'Pelan Pengambilan'!U36,'Pelan Pengambilan'!W36,'Pelan Pengambilan'!Y36,'Pelan Pengambilan'!AA36,'Pelan Pengambilan'!AC36,'Pelan Pengambilan'!AE36)/COUNT('Pelan Pengambilan'!H36,'Pelan Pengambilan'!J36,'Pelan Pengambilan'!L36,'Pelan Pengambilan'!N36,'Pelan Pengambilan'!P36,'Pelan Pengambilan'!R36,'Pelan Pengambilan'!T36,'Pelan Pengambilan'!V36,'Pelan Pengambilan'!X36,'Pelan Pengambilan'!Z36,'Pelan Pengambilan'!AB36,'Pelan Pengambilan'!AD36)),"")</f>
        <v/>
      </c>
      <c r="F66" s="157" t="str">
        <f>IFERROR(IF('Pelan Pengambilan'!G36="","",'Pelan Pengambilan'!G36),"")</f>
        <v/>
      </c>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4" t="str">
        <f>'Pelan Pengambilan'!AF36</f>
        <v/>
      </c>
      <c r="DI66" s="154"/>
      <c r="DJ66" s="159">
        <f>IFERROR(MIN('Pelan Pengambilan'!H36,'Pelan Pengambilan'!J36,'Pelan Pengambilan'!L36,'Pelan Pengambilan'!N36,'Pelan Pengambilan'!P36,'Pelan Pengambilan'!R36,'Pelan Pengambilan'!T36,'Pelan Pengambilan'!V36,'Pelan Pengambilan'!X36,'Pelan Pengambilan'!Z36,'Pelan Pengambilan'!AB36,'Pelan Pengambilan'!AD36),"")</f>
        <v>0</v>
      </c>
      <c r="DK66" s="159">
        <f>IFERROR(MAX('Pelan Pengambilan'!H36,'Pelan Pengambilan'!J36,'Pelan Pengambilan'!L36,'Pelan Pengambilan'!N36,'Pelan Pengambilan'!P36,'Pelan Pengambilan'!R36,'Pelan Pengambilan'!T36,'Pelan Pengambilan'!V36,'Pelan Pengambilan'!X36,'Pelan Pengambilan'!Z36,'Pelan Pengambilan'!AB36,'Pelan Pengambilan'!AD36),"")</f>
        <v>0</v>
      </c>
      <c r="DL66" s="159">
        <f>IFERROR(MIN('Pelan Pengambilan'!I36,'Pelan Pengambilan'!K36,'Pelan Pengambilan'!M36,'Pelan Pengambilan'!O36,'Pelan Pengambilan'!Q36,'Pelan Pengambilan'!S36,'Pelan Pengambilan'!U36,'Pelan Pengambilan'!W36,'Pelan Pengambilan'!Y36,'Pelan Pengambilan'!AA36,'Pelan Pengambilan'!AC36,'Pelan Pengambilan'!AE36),"")</f>
        <v>0</v>
      </c>
      <c r="DM66" s="159">
        <f>IFERROR(MAX('Pelan Pengambilan'!I36,'Pelan Pengambilan'!K36,'Pelan Pengambilan'!M36,'Pelan Pengambilan'!O36,'Pelan Pengambilan'!Q36,'Pelan Pengambilan'!S36,'Pelan Pengambilan'!U36,'Pelan Pengambilan'!W36,'Pelan Pengambilan'!Y36,'Pelan Pengambilan'!AA36,'Pelan Pengambilan'!AC36,'Pelan Pengambilan'!AE36),"")</f>
        <v>0</v>
      </c>
    </row>
    <row r="67" ht="19.5" customHeight="1">
      <c r="A67" s="41"/>
      <c r="B67" s="41"/>
      <c r="C67" s="41"/>
      <c r="D67" s="155" t="s">
        <v>276</v>
      </c>
      <c r="E67" s="41"/>
      <c r="F67" s="41"/>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41"/>
      <c r="DI67" s="41"/>
      <c r="DJ67" s="3"/>
      <c r="DK67" s="3"/>
      <c r="DL67" s="3"/>
      <c r="DM67" s="3"/>
    </row>
    <row r="68" ht="19.5" customHeight="1">
      <c r="A68" s="153" t="str">
        <f>'Pelan Pengambilan'!B37</f>
        <v/>
      </c>
      <c r="B68" s="154" t="str">
        <f>'Pelan Pengambilan'!C37</f>
        <v/>
      </c>
      <c r="C68" s="153" t="str">
        <f t="array" ref="C68">IFERROR(IF(INDEX(Strategi!$F$5:$F$134,MATCH(LARGE(Strategi!$K$5:$K$134,32),Strategi!$K$5:$K$134,0))="","","("&amp;COUNTIFS('Pelan Pengambilan'!$B$6:$B$37,'Pelan Pengambilan'!$B37,'Pelan Pengambilan'!$C$6:$C$37,'Pelan Pengambilan'!$C37)&amp;") "&amp;INDEX(Strategi!$F$5:$F$134,MATCH(LARGE(Strategi!$K$5:$K$134,32),Strategi!$K$5:$K$134,0))),"")</f>
        <v/>
      </c>
      <c r="D68" s="155" t="s">
        <v>275</v>
      </c>
      <c r="E68" s="156" t="str">
        <f>IFERROR(IF(COUNT('Pelan Pengambilan'!H37,'Pelan Pengambilan'!J37,'Pelan Pengambilan'!L37,'Pelan Pengambilan'!N37,'Pelan Pengambilan'!P37,'Pelan Pengambilan'!R37,'Pelan Pengambilan'!T37,'Pelan Pengambilan'!V37,'Pelan Pengambilan'!X37,'Pelan Pengambilan'!Z37,'Pelan Pengambilan'!AB37,'Pelan Pengambilan'!AD37)=0,"",COUNT('Pelan Pengambilan'!I37,'Pelan Pengambilan'!K37,'Pelan Pengambilan'!M37,'Pelan Pengambilan'!O37,'Pelan Pengambilan'!Q37,'Pelan Pengambilan'!S37,'Pelan Pengambilan'!U37,'Pelan Pengambilan'!W37,'Pelan Pengambilan'!Y37,'Pelan Pengambilan'!AA37,'Pelan Pengambilan'!AC37,'Pelan Pengambilan'!AE37)/COUNT('Pelan Pengambilan'!H37,'Pelan Pengambilan'!J37,'Pelan Pengambilan'!L37,'Pelan Pengambilan'!N37,'Pelan Pengambilan'!P37,'Pelan Pengambilan'!R37,'Pelan Pengambilan'!T37,'Pelan Pengambilan'!V37,'Pelan Pengambilan'!X37,'Pelan Pengambilan'!Z37,'Pelan Pengambilan'!AB37,'Pelan Pengambilan'!AD37)),"")</f>
        <v/>
      </c>
      <c r="F68" s="157" t="str">
        <f>IFERROR(IF('Pelan Pengambilan'!G37="","",'Pelan Pengambilan'!G37),"")</f>
        <v/>
      </c>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4" t="str">
        <f>'Pelan Pengambilan'!AF37</f>
        <v/>
      </c>
      <c r="DI68" s="154"/>
      <c r="DJ68" s="159">
        <f>IFERROR(MIN('Pelan Pengambilan'!H37,'Pelan Pengambilan'!J37,'Pelan Pengambilan'!L37,'Pelan Pengambilan'!N37,'Pelan Pengambilan'!P37,'Pelan Pengambilan'!R37,'Pelan Pengambilan'!T37,'Pelan Pengambilan'!V37,'Pelan Pengambilan'!X37,'Pelan Pengambilan'!Z37,'Pelan Pengambilan'!AB37,'Pelan Pengambilan'!AD37),"")</f>
        <v>0</v>
      </c>
      <c r="DK68" s="159">
        <f>IFERROR(MAX('Pelan Pengambilan'!H37,'Pelan Pengambilan'!J37,'Pelan Pengambilan'!L37,'Pelan Pengambilan'!N37,'Pelan Pengambilan'!P37,'Pelan Pengambilan'!R37,'Pelan Pengambilan'!T37,'Pelan Pengambilan'!V37,'Pelan Pengambilan'!X37,'Pelan Pengambilan'!Z37,'Pelan Pengambilan'!AB37,'Pelan Pengambilan'!AD37),"")</f>
        <v>0</v>
      </c>
      <c r="DL68" s="159">
        <f>IFERROR(MIN('Pelan Pengambilan'!I37,'Pelan Pengambilan'!K37,'Pelan Pengambilan'!M37,'Pelan Pengambilan'!O37,'Pelan Pengambilan'!Q37,'Pelan Pengambilan'!S37,'Pelan Pengambilan'!U37,'Pelan Pengambilan'!W37,'Pelan Pengambilan'!Y37,'Pelan Pengambilan'!AA37,'Pelan Pengambilan'!AC37,'Pelan Pengambilan'!AE37),"")</f>
        <v>0</v>
      </c>
      <c r="DM68" s="159">
        <f>IFERROR(MAX('Pelan Pengambilan'!I37,'Pelan Pengambilan'!K37,'Pelan Pengambilan'!M37,'Pelan Pengambilan'!O37,'Pelan Pengambilan'!Q37,'Pelan Pengambilan'!S37,'Pelan Pengambilan'!U37,'Pelan Pengambilan'!W37,'Pelan Pengambilan'!Y37,'Pelan Pengambilan'!AA37,'Pelan Pengambilan'!AC37,'Pelan Pengambilan'!AE37),"")</f>
        <v>0</v>
      </c>
    </row>
    <row r="69" ht="19.5" customHeight="1">
      <c r="A69" s="41"/>
      <c r="B69" s="41"/>
      <c r="C69" s="41"/>
      <c r="D69" s="155" t="s">
        <v>276</v>
      </c>
      <c r="E69" s="41"/>
      <c r="F69" s="41"/>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41"/>
      <c r="DI69" s="41"/>
      <c r="DJ69" s="3"/>
      <c r="DK69" s="3"/>
      <c r="DL69" s="3"/>
      <c r="DM69" s="3"/>
    </row>
    <row r="70" ht="19.5" customHeight="1">
      <c r="A70" s="153" t="str">
        <f>'Pelan Pengambilan'!B38</f>
        <v/>
      </c>
      <c r="B70" s="154" t="str">
        <f>'Pelan Pengambilan'!C38</f>
        <v/>
      </c>
      <c r="C70" s="153" t="str">
        <f t="array" ref="C70">IFERROR(IF(INDEX(Strategi!$F$5:$F$134,MATCH(LARGE(Strategi!$K$5:$K$134,33),Strategi!$K$5:$K$134,0))="","","("&amp;COUNTIFS('Pelan Pengambilan'!$B$6:$B$38,'Pelan Pengambilan'!$B38,'Pelan Pengambilan'!$C$6:$C$38,'Pelan Pengambilan'!$C38)&amp;") "&amp;INDEX(Strategi!$F$5:$F$134,MATCH(LARGE(Strategi!$K$5:$K$134,33),Strategi!$K$5:$K$134,0))),"")</f>
        <v/>
      </c>
      <c r="D70" s="155" t="s">
        <v>275</v>
      </c>
      <c r="E70" s="156" t="str">
        <f>IFERROR(IF(COUNT('Pelan Pengambilan'!H38,'Pelan Pengambilan'!J38,'Pelan Pengambilan'!L38,'Pelan Pengambilan'!N38,'Pelan Pengambilan'!P38,'Pelan Pengambilan'!R38,'Pelan Pengambilan'!T38,'Pelan Pengambilan'!V38,'Pelan Pengambilan'!X38,'Pelan Pengambilan'!Z38,'Pelan Pengambilan'!AB38,'Pelan Pengambilan'!AD38)=0,"",COUNT('Pelan Pengambilan'!I38,'Pelan Pengambilan'!K38,'Pelan Pengambilan'!M38,'Pelan Pengambilan'!O38,'Pelan Pengambilan'!Q38,'Pelan Pengambilan'!S38,'Pelan Pengambilan'!U38,'Pelan Pengambilan'!W38,'Pelan Pengambilan'!Y38,'Pelan Pengambilan'!AA38,'Pelan Pengambilan'!AC38,'Pelan Pengambilan'!AE38)/COUNT('Pelan Pengambilan'!H38,'Pelan Pengambilan'!J38,'Pelan Pengambilan'!L38,'Pelan Pengambilan'!N38,'Pelan Pengambilan'!P38,'Pelan Pengambilan'!R38,'Pelan Pengambilan'!T38,'Pelan Pengambilan'!V38,'Pelan Pengambilan'!X38,'Pelan Pengambilan'!Z38,'Pelan Pengambilan'!AB38,'Pelan Pengambilan'!AD38)),"")</f>
        <v/>
      </c>
      <c r="F70" s="157" t="str">
        <f>IFERROR(IF('Pelan Pengambilan'!G38="","",'Pelan Pengambilan'!G38),"")</f>
        <v/>
      </c>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4" t="str">
        <f>'Pelan Pengambilan'!AF38</f>
        <v/>
      </c>
      <c r="DI70" s="154"/>
      <c r="DJ70" s="159">
        <f>IFERROR(MIN('Pelan Pengambilan'!H38,'Pelan Pengambilan'!J38,'Pelan Pengambilan'!L38,'Pelan Pengambilan'!N38,'Pelan Pengambilan'!P38,'Pelan Pengambilan'!R38,'Pelan Pengambilan'!T38,'Pelan Pengambilan'!V38,'Pelan Pengambilan'!X38,'Pelan Pengambilan'!Z38,'Pelan Pengambilan'!AB38,'Pelan Pengambilan'!AD38),"")</f>
        <v>0</v>
      </c>
      <c r="DK70" s="159">
        <f>IFERROR(MAX('Pelan Pengambilan'!H38,'Pelan Pengambilan'!J38,'Pelan Pengambilan'!L38,'Pelan Pengambilan'!N38,'Pelan Pengambilan'!P38,'Pelan Pengambilan'!R38,'Pelan Pengambilan'!T38,'Pelan Pengambilan'!V38,'Pelan Pengambilan'!X38,'Pelan Pengambilan'!Z38,'Pelan Pengambilan'!AB38,'Pelan Pengambilan'!AD38),"")</f>
        <v>0</v>
      </c>
      <c r="DL70" s="159">
        <f>IFERROR(MIN('Pelan Pengambilan'!I38,'Pelan Pengambilan'!K38,'Pelan Pengambilan'!M38,'Pelan Pengambilan'!O38,'Pelan Pengambilan'!Q38,'Pelan Pengambilan'!S38,'Pelan Pengambilan'!U38,'Pelan Pengambilan'!W38,'Pelan Pengambilan'!Y38,'Pelan Pengambilan'!AA38,'Pelan Pengambilan'!AC38,'Pelan Pengambilan'!AE38),"")</f>
        <v>0</v>
      </c>
      <c r="DM70" s="159">
        <f>IFERROR(MAX('Pelan Pengambilan'!I38,'Pelan Pengambilan'!K38,'Pelan Pengambilan'!M38,'Pelan Pengambilan'!O38,'Pelan Pengambilan'!Q38,'Pelan Pengambilan'!S38,'Pelan Pengambilan'!U38,'Pelan Pengambilan'!W38,'Pelan Pengambilan'!Y38,'Pelan Pengambilan'!AA38,'Pelan Pengambilan'!AC38,'Pelan Pengambilan'!AE38),"")</f>
        <v>0</v>
      </c>
    </row>
    <row r="71" ht="19.5" customHeight="1">
      <c r="A71" s="41"/>
      <c r="B71" s="41"/>
      <c r="C71" s="41"/>
      <c r="D71" s="155" t="s">
        <v>276</v>
      </c>
      <c r="E71" s="41"/>
      <c r="F71" s="41"/>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41"/>
      <c r="DI71" s="41"/>
      <c r="DJ71" s="3"/>
      <c r="DK71" s="3"/>
      <c r="DL71" s="3"/>
      <c r="DM71" s="3"/>
    </row>
    <row r="72" ht="19.5" customHeight="1">
      <c r="A72" s="153" t="str">
        <f>'Pelan Pengambilan'!B39</f>
        <v/>
      </c>
      <c r="B72" s="154" t="str">
        <f>'Pelan Pengambilan'!C39</f>
        <v/>
      </c>
      <c r="C72" s="153" t="str">
        <f t="array" ref="C72">IFERROR(IF(INDEX(Strategi!$F$5:$F$134,MATCH(LARGE(Strategi!$K$5:$K$134,34),Strategi!$K$5:$K$134,0))="","","("&amp;COUNTIFS('Pelan Pengambilan'!$B$6:$B$39,'Pelan Pengambilan'!$B39,'Pelan Pengambilan'!$C$6:$C$39,'Pelan Pengambilan'!$C39)&amp;") "&amp;INDEX(Strategi!$F$5:$F$134,MATCH(LARGE(Strategi!$K$5:$K$134,34),Strategi!$K$5:$K$134,0))),"")</f>
        <v/>
      </c>
      <c r="D72" s="155" t="s">
        <v>275</v>
      </c>
      <c r="E72" s="156" t="str">
        <f>IFERROR(IF(COUNT('Pelan Pengambilan'!H39,'Pelan Pengambilan'!J39,'Pelan Pengambilan'!L39,'Pelan Pengambilan'!N39,'Pelan Pengambilan'!P39,'Pelan Pengambilan'!R39,'Pelan Pengambilan'!T39,'Pelan Pengambilan'!V39,'Pelan Pengambilan'!X39,'Pelan Pengambilan'!Z39,'Pelan Pengambilan'!AB39,'Pelan Pengambilan'!AD39)=0,"",COUNT('Pelan Pengambilan'!I39,'Pelan Pengambilan'!K39,'Pelan Pengambilan'!M39,'Pelan Pengambilan'!O39,'Pelan Pengambilan'!Q39,'Pelan Pengambilan'!S39,'Pelan Pengambilan'!U39,'Pelan Pengambilan'!W39,'Pelan Pengambilan'!Y39,'Pelan Pengambilan'!AA39,'Pelan Pengambilan'!AC39,'Pelan Pengambilan'!AE39)/COUNT('Pelan Pengambilan'!H39,'Pelan Pengambilan'!J39,'Pelan Pengambilan'!L39,'Pelan Pengambilan'!N39,'Pelan Pengambilan'!P39,'Pelan Pengambilan'!R39,'Pelan Pengambilan'!T39,'Pelan Pengambilan'!V39,'Pelan Pengambilan'!X39,'Pelan Pengambilan'!Z39,'Pelan Pengambilan'!AB39,'Pelan Pengambilan'!AD39)),"")</f>
        <v/>
      </c>
      <c r="F72" s="157" t="str">
        <f>IFERROR(IF('Pelan Pengambilan'!G39="","",'Pelan Pengambilan'!G39),"")</f>
        <v/>
      </c>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c r="CS72" s="158"/>
      <c r="CT72" s="158"/>
      <c r="CU72" s="158"/>
      <c r="CV72" s="158"/>
      <c r="CW72" s="158"/>
      <c r="CX72" s="158"/>
      <c r="CY72" s="158"/>
      <c r="CZ72" s="158"/>
      <c r="DA72" s="158"/>
      <c r="DB72" s="158"/>
      <c r="DC72" s="158"/>
      <c r="DD72" s="158"/>
      <c r="DE72" s="158"/>
      <c r="DF72" s="158"/>
      <c r="DG72" s="158"/>
      <c r="DH72" s="154" t="str">
        <f>'Pelan Pengambilan'!AF39</f>
        <v/>
      </c>
      <c r="DI72" s="154"/>
      <c r="DJ72" s="3">
        <f>IFERROR(MIN('Pelan Pengambilan'!H39,'Pelan Pengambilan'!J39,'Pelan Pengambilan'!L39,'Pelan Pengambilan'!N39,'Pelan Pengambilan'!P39,'Pelan Pengambilan'!R39,'Pelan Pengambilan'!T39,'Pelan Pengambilan'!V39,'Pelan Pengambilan'!X39,'Pelan Pengambilan'!Z39,'Pelan Pengambilan'!AB39,'Pelan Pengambilan'!AD39),"")</f>
        <v>0</v>
      </c>
      <c r="DK72" s="3">
        <f>IFERROR(MAX('Pelan Pengambilan'!H39,'Pelan Pengambilan'!J39,'Pelan Pengambilan'!L39,'Pelan Pengambilan'!N39,'Pelan Pengambilan'!P39,'Pelan Pengambilan'!R39,'Pelan Pengambilan'!T39,'Pelan Pengambilan'!V39,'Pelan Pengambilan'!X39,'Pelan Pengambilan'!Z39,'Pelan Pengambilan'!AB39,'Pelan Pengambilan'!AD39),"")</f>
        <v>0</v>
      </c>
      <c r="DL72" s="3">
        <f>IFERROR(MIN('Pelan Pengambilan'!I39,'Pelan Pengambilan'!K39,'Pelan Pengambilan'!M39,'Pelan Pengambilan'!O39,'Pelan Pengambilan'!Q39,'Pelan Pengambilan'!S39,'Pelan Pengambilan'!U39,'Pelan Pengambilan'!W39,'Pelan Pengambilan'!Y39,'Pelan Pengambilan'!AA39,'Pelan Pengambilan'!AC39,'Pelan Pengambilan'!AE39),"")</f>
        <v>0</v>
      </c>
      <c r="DM72" s="3">
        <f>IFERROR(MAX('Pelan Pengambilan'!I39,'Pelan Pengambilan'!K39,'Pelan Pengambilan'!M39,'Pelan Pengambilan'!O39,'Pelan Pengambilan'!Q39,'Pelan Pengambilan'!S39,'Pelan Pengambilan'!U39,'Pelan Pengambilan'!W39,'Pelan Pengambilan'!Y39,'Pelan Pengambilan'!AA39,'Pelan Pengambilan'!AC39,'Pelan Pengambilan'!AE39),"")</f>
        <v>0</v>
      </c>
    </row>
    <row r="73" ht="19.5" customHeight="1">
      <c r="A73" s="41"/>
      <c r="B73" s="41"/>
      <c r="C73" s="41"/>
      <c r="D73" s="155" t="s">
        <v>276</v>
      </c>
      <c r="E73" s="41"/>
      <c r="F73" s="41"/>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c r="CS73" s="158"/>
      <c r="CT73" s="158"/>
      <c r="CU73" s="158"/>
      <c r="CV73" s="158"/>
      <c r="CW73" s="158"/>
      <c r="CX73" s="158"/>
      <c r="CY73" s="158"/>
      <c r="CZ73" s="158"/>
      <c r="DA73" s="158"/>
      <c r="DB73" s="158"/>
      <c r="DC73" s="158"/>
      <c r="DD73" s="158"/>
      <c r="DE73" s="158"/>
      <c r="DF73" s="158"/>
      <c r="DG73" s="158"/>
      <c r="DH73" s="41"/>
      <c r="DI73" s="41"/>
      <c r="DJ73" s="3"/>
      <c r="DK73" s="3"/>
      <c r="DL73" s="3"/>
      <c r="DM73" s="3"/>
    </row>
    <row r="74" ht="19.5" customHeight="1">
      <c r="A74" s="153" t="str">
        <f>'Pelan Pengambilan'!B40</f>
        <v/>
      </c>
      <c r="B74" s="154" t="str">
        <f>'Pelan Pengambilan'!C40</f>
        <v/>
      </c>
      <c r="C74" s="153" t="str">
        <f t="array" ref="C74">IFERROR(IF(INDEX(Strategi!$F$5:$F$134,MATCH(LARGE(Strategi!$K$5:$K$134,35),Strategi!$K$5:$K$134,0))="","","("&amp;COUNTIFS('Pelan Pengambilan'!$B$6:$B$40,'Pelan Pengambilan'!$B40,'Pelan Pengambilan'!$C$6:$C$40,'Pelan Pengambilan'!$C40)&amp;") "&amp;INDEX(Strategi!$F$5:$F$134,MATCH(LARGE(Strategi!$K$5:$K$134,35),Strategi!$K$5:$K$134,0))),"")</f>
        <v/>
      </c>
      <c r="D74" s="155" t="s">
        <v>275</v>
      </c>
      <c r="E74" s="156" t="str">
        <f>IFERROR(IF(COUNT('Pelan Pengambilan'!H40,'Pelan Pengambilan'!J40,'Pelan Pengambilan'!L40,'Pelan Pengambilan'!N40,'Pelan Pengambilan'!P40,'Pelan Pengambilan'!R40,'Pelan Pengambilan'!T40,'Pelan Pengambilan'!V40,'Pelan Pengambilan'!X40,'Pelan Pengambilan'!Z40,'Pelan Pengambilan'!AB40,'Pelan Pengambilan'!AD40)=0,"",COUNT('Pelan Pengambilan'!I40,'Pelan Pengambilan'!K40,'Pelan Pengambilan'!M40,'Pelan Pengambilan'!O40,'Pelan Pengambilan'!Q40,'Pelan Pengambilan'!S40,'Pelan Pengambilan'!U40,'Pelan Pengambilan'!W40,'Pelan Pengambilan'!Y40,'Pelan Pengambilan'!AA40,'Pelan Pengambilan'!AC40,'Pelan Pengambilan'!AE40)/COUNT('Pelan Pengambilan'!H40,'Pelan Pengambilan'!J40,'Pelan Pengambilan'!L40,'Pelan Pengambilan'!N40,'Pelan Pengambilan'!P40,'Pelan Pengambilan'!R40,'Pelan Pengambilan'!T40,'Pelan Pengambilan'!V40,'Pelan Pengambilan'!X40,'Pelan Pengambilan'!Z40,'Pelan Pengambilan'!AB40,'Pelan Pengambilan'!AD40)),"")</f>
        <v/>
      </c>
      <c r="F74" s="157" t="str">
        <f>IFERROR(IF('Pelan Pengambilan'!G40="","",'Pelan Pengambilan'!G40),"")</f>
        <v/>
      </c>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4" t="str">
        <f>'Pelan Pengambilan'!AF40</f>
        <v/>
      </c>
      <c r="DI74" s="154"/>
      <c r="DJ74" s="3">
        <f>IFERROR(MIN('Pelan Pengambilan'!H40,'Pelan Pengambilan'!J40,'Pelan Pengambilan'!L40,'Pelan Pengambilan'!N40,'Pelan Pengambilan'!P40,'Pelan Pengambilan'!R40,'Pelan Pengambilan'!T40,'Pelan Pengambilan'!V40,'Pelan Pengambilan'!X40,'Pelan Pengambilan'!Z40,'Pelan Pengambilan'!AB40,'Pelan Pengambilan'!AD40),"")</f>
        <v>0</v>
      </c>
      <c r="DK74" s="3">
        <f>IFERROR(MAX('Pelan Pengambilan'!H40,'Pelan Pengambilan'!J40,'Pelan Pengambilan'!L40,'Pelan Pengambilan'!N40,'Pelan Pengambilan'!P40,'Pelan Pengambilan'!R40,'Pelan Pengambilan'!T40,'Pelan Pengambilan'!V40,'Pelan Pengambilan'!X40,'Pelan Pengambilan'!Z40,'Pelan Pengambilan'!AB40,'Pelan Pengambilan'!AD40),"")</f>
        <v>0</v>
      </c>
      <c r="DL74" s="3">
        <f>IFERROR(MIN('Pelan Pengambilan'!I40,'Pelan Pengambilan'!K40,'Pelan Pengambilan'!M40,'Pelan Pengambilan'!O40,'Pelan Pengambilan'!Q40,'Pelan Pengambilan'!S40,'Pelan Pengambilan'!U40,'Pelan Pengambilan'!W40,'Pelan Pengambilan'!Y40,'Pelan Pengambilan'!AA40,'Pelan Pengambilan'!AC40,'Pelan Pengambilan'!AE40),"")</f>
        <v>0</v>
      </c>
      <c r="DM74" s="3">
        <f>IFERROR(MAX('Pelan Pengambilan'!I40,'Pelan Pengambilan'!K40,'Pelan Pengambilan'!M40,'Pelan Pengambilan'!O40,'Pelan Pengambilan'!Q40,'Pelan Pengambilan'!S40,'Pelan Pengambilan'!U40,'Pelan Pengambilan'!W40,'Pelan Pengambilan'!Y40,'Pelan Pengambilan'!AA40,'Pelan Pengambilan'!AC40,'Pelan Pengambilan'!AE40),"")</f>
        <v>0</v>
      </c>
    </row>
    <row r="75" ht="19.5" customHeight="1">
      <c r="A75" s="41"/>
      <c r="B75" s="41"/>
      <c r="C75" s="41"/>
      <c r="D75" s="155" t="s">
        <v>276</v>
      </c>
      <c r="E75" s="41"/>
      <c r="F75" s="41"/>
      <c r="G75" s="158"/>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158"/>
      <c r="DE75" s="158"/>
      <c r="DF75" s="158"/>
      <c r="DG75" s="158"/>
      <c r="DH75" s="41"/>
      <c r="DI75" s="41"/>
      <c r="DJ75" s="3"/>
      <c r="DK75" s="3"/>
      <c r="DL75" s="3"/>
      <c r="DM75" s="3"/>
    </row>
    <row r="76" ht="19.5" customHeight="1">
      <c r="A76" s="153" t="str">
        <f>'Pelan Pengambilan'!B41</f>
        <v/>
      </c>
      <c r="B76" s="154" t="str">
        <f>'Pelan Pengambilan'!C41</f>
        <v/>
      </c>
      <c r="C76" s="153" t="str">
        <f t="array" ref="C76">IFERROR(IF(INDEX(Strategi!$F$5:$F$134,MATCH(LARGE(Strategi!$K$5:$K$134,36),Strategi!$K$5:$K$134,0))="","","("&amp;COUNTIFS('Pelan Pengambilan'!$B$6:$B$41,'Pelan Pengambilan'!$B41,'Pelan Pengambilan'!$C$6:$C$41,'Pelan Pengambilan'!$C41)&amp;") "&amp;INDEX(Strategi!$F$5:$F$134,MATCH(LARGE(Strategi!$K$5:$K$134,36),Strategi!$K$5:$K$134,0))),"")</f>
        <v/>
      </c>
      <c r="D76" s="155" t="s">
        <v>275</v>
      </c>
      <c r="E76" s="156" t="str">
        <f>IFERROR(IF(COUNT('Pelan Pengambilan'!H41,'Pelan Pengambilan'!J41,'Pelan Pengambilan'!L41,'Pelan Pengambilan'!N41,'Pelan Pengambilan'!P41,'Pelan Pengambilan'!R41,'Pelan Pengambilan'!T41,'Pelan Pengambilan'!V41,'Pelan Pengambilan'!X41,'Pelan Pengambilan'!Z41,'Pelan Pengambilan'!AB41,'Pelan Pengambilan'!AD41)=0,"",COUNT('Pelan Pengambilan'!I41,'Pelan Pengambilan'!K41,'Pelan Pengambilan'!M41,'Pelan Pengambilan'!O41,'Pelan Pengambilan'!Q41,'Pelan Pengambilan'!S41,'Pelan Pengambilan'!U41,'Pelan Pengambilan'!W41,'Pelan Pengambilan'!Y41,'Pelan Pengambilan'!AA41,'Pelan Pengambilan'!AC41,'Pelan Pengambilan'!AE41)/COUNT('Pelan Pengambilan'!H41,'Pelan Pengambilan'!J41,'Pelan Pengambilan'!L41,'Pelan Pengambilan'!N41,'Pelan Pengambilan'!P41,'Pelan Pengambilan'!R41,'Pelan Pengambilan'!T41,'Pelan Pengambilan'!V41,'Pelan Pengambilan'!X41,'Pelan Pengambilan'!Z41,'Pelan Pengambilan'!AB41,'Pelan Pengambilan'!AD41)),"")</f>
        <v/>
      </c>
      <c r="F76" s="157" t="str">
        <f>IFERROR(IF('Pelan Pengambilan'!G41="","",'Pelan Pengambilan'!G41),"")</f>
        <v/>
      </c>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c r="CS76" s="158"/>
      <c r="CT76" s="158"/>
      <c r="CU76" s="158"/>
      <c r="CV76" s="158"/>
      <c r="CW76" s="158"/>
      <c r="CX76" s="158"/>
      <c r="CY76" s="158"/>
      <c r="CZ76" s="158"/>
      <c r="DA76" s="158"/>
      <c r="DB76" s="158"/>
      <c r="DC76" s="158"/>
      <c r="DD76" s="158"/>
      <c r="DE76" s="158"/>
      <c r="DF76" s="158"/>
      <c r="DG76" s="158"/>
      <c r="DH76" s="154" t="str">
        <f>'Pelan Pengambilan'!AF41</f>
        <v/>
      </c>
      <c r="DI76" s="154"/>
      <c r="DJ76" s="3">
        <f>IFERROR(MIN('Pelan Pengambilan'!H41,'Pelan Pengambilan'!J41,'Pelan Pengambilan'!L41,'Pelan Pengambilan'!N41,'Pelan Pengambilan'!P41,'Pelan Pengambilan'!R41,'Pelan Pengambilan'!T41,'Pelan Pengambilan'!V41,'Pelan Pengambilan'!X41,'Pelan Pengambilan'!Z41,'Pelan Pengambilan'!AB41,'Pelan Pengambilan'!AD41),"")</f>
        <v>0</v>
      </c>
      <c r="DK76" s="3">
        <f>IFERROR(MAX('Pelan Pengambilan'!H41,'Pelan Pengambilan'!J41,'Pelan Pengambilan'!L41,'Pelan Pengambilan'!N41,'Pelan Pengambilan'!P41,'Pelan Pengambilan'!R41,'Pelan Pengambilan'!T41,'Pelan Pengambilan'!V41,'Pelan Pengambilan'!X41,'Pelan Pengambilan'!Z41,'Pelan Pengambilan'!AB41,'Pelan Pengambilan'!AD41),"")</f>
        <v>0</v>
      </c>
      <c r="DL76" s="3">
        <f>IFERROR(MIN('Pelan Pengambilan'!I41,'Pelan Pengambilan'!K41,'Pelan Pengambilan'!M41,'Pelan Pengambilan'!O41,'Pelan Pengambilan'!Q41,'Pelan Pengambilan'!S41,'Pelan Pengambilan'!U41,'Pelan Pengambilan'!W41,'Pelan Pengambilan'!Y41,'Pelan Pengambilan'!AA41,'Pelan Pengambilan'!AC41,'Pelan Pengambilan'!AE41),"")</f>
        <v>0</v>
      </c>
      <c r="DM76" s="3">
        <f>IFERROR(MAX('Pelan Pengambilan'!I41,'Pelan Pengambilan'!K41,'Pelan Pengambilan'!M41,'Pelan Pengambilan'!O41,'Pelan Pengambilan'!Q41,'Pelan Pengambilan'!S41,'Pelan Pengambilan'!U41,'Pelan Pengambilan'!W41,'Pelan Pengambilan'!Y41,'Pelan Pengambilan'!AA41,'Pelan Pengambilan'!AC41,'Pelan Pengambilan'!AE41),"")</f>
        <v>0</v>
      </c>
    </row>
    <row r="77" ht="19.5" customHeight="1">
      <c r="A77" s="41"/>
      <c r="B77" s="41"/>
      <c r="C77" s="41"/>
      <c r="D77" s="155" t="s">
        <v>276</v>
      </c>
      <c r="E77" s="41"/>
      <c r="F77" s="41"/>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c r="CS77" s="158"/>
      <c r="CT77" s="158"/>
      <c r="CU77" s="158"/>
      <c r="CV77" s="158"/>
      <c r="CW77" s="158"/>
      <c r="CX77" s="158"/>
      <c r="CY77" s="158"/>
      <c r="CZ77" s="158"/>
      <c r="DA77" s="158"/>
      <c r="DB77" s="158"/>
      <c r="DC77" s="158"/>
      <c r="DD77" s="158"/>
      <c r="DE77" s="158"/>
      <c r="DF77" s="158"/>
      <c r="DG77" s="158"/>
      <c r="DH77" s="41"/>
      <c r="DI77" s="41"/>
      <c r="DJ77" s="3"/>
      <c r="DK77" s="3"/>
      <c r="DL77" s="3"/>
      <c r="DM77" s="3"/>
    </row>
    <row r="78" ht="19.5" customHeight="1">
      <c r="A78" s="153" t="str">
        <f>'Pelan Pengambilan'!B42</f>
        <v/>
      </c>
      <c r="B78" s="154" t="str">
        <f>'Pelan Pengambilan'!C42</f>
        <v/>
      </c>
      <c r="C78" s="153" t="str">
        <f t="array" ref="C78">IFERROR(IF(INDEX(Strategi!$F$5:$F$134,MATCH(LARGE(Strategi!$K$5:$K$134,37),Strategi!$K$5:$K$134,0))="","","("&amp;COUNTIFS('Pelan Pengambilan'!$B$6:$B$42,'Pelan Pengambilan'!$B42,'Pelan Pengambilan'!$C$6:$C$42,'Pelan Pengambilan'!$C42)&amp;") "&amp;INDEX(Strategi!$F$5:$F$134,MATCH(LARGE(Strategi!$K$5:$K$134,37),Strategi!$K$5:$K$134,0))),"")</f>
        <v/>
      </c>
      <c r="D78" s="155" t="s">
        <v>275</v>
      </c>
      <c r="E78" s="156" t="str">
        <f>IFERROR(IF(COUNT('Pelan Pengambilan'!H42,'Pelan Pengambilan'!J42,'Pelan Pengambilan'!L42,'Pelan Pengambilan'!N42,'Pelan Pengambilan'!P42,'Pelan Pengambilan'!R42,'Pelan Pengambilan'!T42,'Pelan Pengambilan'!V42,'Pelan Pengambilan'!X42,'Pelan Pengambilan'!Z42,'Pelan Pengambilan'!AB42,'Pelan Pengambilan'!AD42)=0,"",COUNT('Pelan Pengambilan'!I42,'Pelan Pengambilan'!K42,'Pelan Pengambilan'!M42,'Pelan Pengambilan'!O42,'Pelan Pengambilan'!Q42,'Pelan Pengambilan'!S42,'Pelan Pengambilan'!U42,'Pelan Pengambilan'!W42,'Pelan Pengambilan'!Y42,'Pelan Pengambilan'!AA42,'Pelan Pengambilan'!AC42,'Pelan Pengambilan'!AE42)/COUNT('Pelan Pengambilan'!H42,'Pelan Pengambilan'!J42,'Pelan Pengambilan'!L42,'Pelan Pengambilan'!N42,'Pelan Pengambilan'!P42,'Pelan Pengambilan'!R42,'Pelan Pengambilan'!T42,'Pelan Pengambilan'!V42,'Pelan Pengambilan'!X42,'Pelan Pengambilan'!Z42,'Pelan Pengambilan'!AB42,'Pelan Pengambilan'!AD42)),"")</f>
        <v/>
      </c>
      <c r="F78" s="157" t="str">
        <f>IFERROR(IF('Pelan Pengambilan'!G42="","",'Pelan Pengambilan'!G42),"")</f>
        <v/>
      </c>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c r="CS78" s="158"/>
      <c r="CT78" s="158"/>
      <c r="CU78" s="158"/>
      <c r="CV78" s="158"/>
      <c r="CW78" s="158"/>
      <c r="CX78" s="158"/>
      <c r="CY78" s="158"/>
      <c r="CZ78" s="158"/>
      <c r="DA78" s="158"/>
      <c r="DB78" s="158"/>
      <c r="DC78" s="158"/>
      <c r="DD78" s="158"/>
      <c r="DE78" s="158"/>
      <c r="DF78" s="158"/>
      <c r="DG78" s="158"/>
      <c r="DH78" s="154" t="str">
        <f>'Pelan Pengambilan'!AF42</f>
        <v/>
      </c>
      <c r="DI78" s="154"/>
      <c r="DJ78" s="3">
        <f>IFERROR(MIN('Pelan Pengambilan'!H42,'Pelan Pengambilan'!J42,'Pelan Pengambilan'!L42,'Pelan Pengambilan'!N42,'Pelan Pengambilan'!P42,'Pelan Pengambilan'!R42,'Pelan Pengambilan'!T42,'Pelan Pengambilan'!V42,'Pelan Pengambilan'!X42,'Pelan Pengambilan'!Z42,'Pelan Pengambilan'!AB42,'Pelan Pengambilan'!AD42),"")</f>
        <v>0</v>
      </c>
      <c r="DK78" s="3">
        <f>IFERROR(MAX('Pelan Pengambilan'!H42,'Pelan Pengambilan'!J42,'Pelan Pengambilan'!L42,'Pelan Pengambilan'!N42,'Pelan Pengambilan'!P42,'Pelan Pengambilan'!R42,'Pelan Pengambilan'!T42,'Pelan Pengambilan'!V42,'Pelan Pengambilan'!X42,'Pelan Pengambilan'!Z42,'Pelan Pengambilan'!AB42,'Pelan Pengambilan'!AD42),"")</f>
        <v>0</v>
      </c>
      <c r="DL78" s="3">
        <f>IFERROR(MIN('Pelan Pengambilan'!I42,'Pelan Pengambilan'!K42,'Pelan Pengambilan'!M42,'Pelan Pengambilan'!O42,'Pelan Pengambilan'!Q42,'Pelan Pengambilan'!S42,'Pelan Pengambilan'!U42,'Pelan Pengambilan'!W42,'Pelan Pengambilan'!Y42,'Pelan Pengambilan'!AA42,'Pelan Pengambilan'!AC42,'Pelan Pengambilan'!AE42),"")</f>
        <v>0</v>
      </c>
      <c r="DM78" s="3">
        <f>IFERROR(MAX('Pelan Pengambilan'!I42,'Pelan Pengambilan'!K42,'Pelan Pengambilan'!M42,'Pelan Pengambilan'!O42,'Pelan Pengambilan'!Q42,'Pelan Pengambilan'!S42,'Pelan Pengambilan'!U42,'Pelan Pengambilan'!W42,'Pelan Pengambilan'!Y42,'Pelan Pengambilan'!AA42,'Pelan Pengambilan'!AC42,'Pelan Pengambilan'!AE42),"")</f>
        <v>0</v>
      </c>
    </row>
    <row r="79" ht="19.5" customHeight="1">
      <c r="A79" s="41"/>
      <c r="B79" s="41"/>
      <c r="C79" s="41"/>
      <c r="D79" s="155" t="s">
        <v>276</v>
      </c>
      <c r="E79" s="41"/>
      <c r="F79" s="41"/>
      <c r="G79" s="158"/>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158"/>
      <c r="CS79" s="158"/>
      <c r="CT79" s="158"/>
      <c r="CU79" s="158"/>
      <c r="CV79" s="158"/>
      <c r="CW79" s="158"/>
      <c r="CX79" s="158"/>
      <c r="CY79" s="158"/>
      <c r="CZ79" s="158"/>
      <c r="DA79" s="158"/>
      <c r="DB79" s="158"/>
      <c r="DC79" s="158"/>
      <c r="DD79" s="158"/>
      <c r="DE79" s="158"/>
      <c r="DF79" s="158"/>
      <c r="DG79" s="158"/>
      <c r="DH79" s="41"/>
      <c r="DI79" s="41"/>
      <c r="DJ79" s="3"/>
      <c r="DK79" s="3"/>
      <c r="DL79" s="3"/>
      <c r="DM79" s="3"/>
    </row>
    <row r="80" ht="19.5" customHeight="1">
      <c r="A80" s="153" t="str">
        <f>'Pelan Pengambilan'!B43</f>
        <v/>
      </c>
      <c r="B80" s="154" t="str">
        <f>'Pelan Pengambilan'!C43</f>
        <v/>
      </c>
      <c r="C80" s="153" t="str">
        <f t="array" ref="C80">IFERROR(IF(INDEX(Strategi!$F$5:$F$134,MATCH(LARGE(Strategi!$K$5:$K$134,38),Strategi!$K$5:$K$134,0))="","","("&amp;COUNTIFS('Pelan Pengambilan'!$B$6:$B$43,'Pelan Pengambilan'!$B43,'Pelan Pengambilan'!$C$6:$C$43,'Pelan Pengambilan'!$C43)&amp;") "&amp;INDEX(Strategi!$F$5:$F$134,MATCH(LARGE(Strategi!$K$5:$K$134,38),Strategi!$K$5:$K$134,0))),"")</f>
        <v/>
      </c>
      <c r="D80" s="155" t="s">
        <v>275</v>
      </c>
      <c r="E80" s="156" t="str">
        <f>IFERROR(IF(COUNT('Pelan Pengambilan'!H43,'Pelan Pengambilan'!J43,'Pelan Pengambilan'!L43,'Pelan Pengambilan'!N43,'Pelan Pengambilan'!P43,'Pelan Pengambilan'!R43,'Pelan Pengambilan'!T43,'Pelan Pengambilan'!V43,'Pelan Pengambilan'!X43,'Pelan Pengambilan'!Z43,'Pelan Pengambilan'!AB43,'Pelan Pengambilan'!AD43)=0,"",COUNT('Pelan Pengambilan'!I43,'Pelan Pengambilan'!K43,'Pelan Pengambilan'!M43,'Pelan Pengambilan'!O43,'Pelan Pengambilan'!Q43,'Pelan Pengambilan'!S43,'Pelan Pengambilan'!U43,'Pelan Pengambilan'!W43,'Pelan Pengambilan'!Y43,'Pelan Pengambilan'!AA43,'Pelan Pengambilan'!AC43,'Pelan Pengambilan'!AE43)/COUNT('Pelan Pengambilan'!H43,'Pelan Pengambilan'!J43,'Pelan Pengambilan'!L43,'Pelan Pengambilan'!N43,'Pelan Pengambilan'!P43,'Pelan Pengambilan'!R43,'Pelan Pengambilan'!T43,'Pelan Pengambilan'!V43,'Pelan Pengambilan'!X43,'Pelan Pengambilan'!Z43,'Pelan Pengambilan'!AB43,'Pelan Pengambilan'!AD43)),"")</f>
        <v/>
      </c>
      <c r="F80" s="157" t="str">
        <f>IFERROR(IF('Pelan Pengambilan'!G43="","",'Pelan Pengambilan'!G43),"")</f>
        <v/>
      </c>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158"/>
      <c r="CS80" s="158"/>
      <c r="CT80" s="158"/>
      <c r="CU80" s="158"/>
      <c r="CV80" s="158"/>
      <c r="CW80" s="158"/>
      <c r="CX80" s="158"/>
      <c r="CY80" s="158"/>
      <c r="CZ80" s="158"/>
      <c r="DA80" s="158"/>
      <c r="DB80" s="158"/>
      <c r="DC80" s="158"/>
      <c r="DD80" s="158"/>
      <c r="DE80" s="158"/>
      <c r="DF80" s="158"/>
      <c r="DG80" s="158"/>
      <c r="DH80" s="154" t="str">
        <f>'Pelan Pengambilan'!AF43</f>
        <v/>
      </c>
      <c r="DI80" s="154"/>
      <c r="DJ80" s="3">
        <f>IFERROR(MIN('Pelan Pengambilan'!H43,'Pelan Pengambilan'!J43,'Pelan Pengambilan'!L43,'Pelan Pengambilan'!N43,'Pelan Pengambilan'!P43,'Pelan Pengambilan'!R43,'Pelan Pengambilan'!T43,'Pelan Pengambilan'!V43,'Pelan Pengambilan'!X43,'Pelan Pengambilan'!Z43,'Pelan Pengambilan'!AB43,'Pelan Pengambilan'!AD43),"")</f>
        <v>0</v>
      </c>
      <c r="DK80" s="3">
        <f>IFERROR(MAX('Pelan Pengambilan'!H43,'Pelan Pengambilan'!J43,'Pelan Pengambilan'!L43,'Pelan Pengambilan'!N43,'Pelan Pengambilan'!P43,'Pelan Pengambilan'!R43,'Pelan Pengambilan'!T43,'Pelan Pengambilan'!V43,'Pelan Pengambilan'!X43,'Pelan Pengambilan'!Z43,'Pelan Pengambilan'!AB43,'Pelan Pengambilan'!AD43),"")</f>
        <v>0</v>
      </c>
      <c r="DL80" s="3">
        <f>IFERROR(MIN('Pelan Pengambilan'!I43,'Pelan Pengambilan'!K43,'Pelan Pengambilan'!M43,'Pelan Pengambilan'!O43,'Pelan Pengambilan'!Q43,'Pelan Pengambilan'!S43,'Pelan Pengambilan'!U43,'Pelan Pengambilan'!W43,'Pelan Pengambilan'!Y43,'Pelan Pengambilan'!AA43,'Pelan Pengambilan'!AC43,'Pelan Pengambilan'!AE43),"")</f>
        <v>0</v>
      </c>
      <c r="DM80" s="3">
        <f>IFERROR(MAX('Pelan Pengambilan'!I43,'Pelan Pengambilan'!K43,'Pelan Pengambilan'!M43,'Pelan Pengambilan'!O43,'Pelan Pengambilan'!Q43,'Pelan Pengambilan'!S43,'Pelan Pengambilan'!U43,'Pelan Pengambilan'!W43,'Pelan Pengambilan'!Y43,'Pelan Pengambilan'!AA43,'Pelan Pengambilan'!AC43,'Pelan Pengambilan'!AE43),"")</f>
        <v>0</v>
      </c>
    </row>
    <row r="81" ht="19.5" customHeight="1">
      <c r="A81" s="41"/>
      <c r="B81" s="41"/>
      <c r="C81" s="41"/>
      <c r="D81" s="155" t="s">
        <v>276</v>
      </c>
      <c r="E81" s="41"/>
      <c r="F81" s="41"/>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158"/>
      <c r="DD81" s="158"/>
      <c r="DE81" s="158"/>
      <c r="DF81" s="158"/>
      <c r="DG81" s="158"/>
      <c r="DH81" s="41"/>
      <c r="DI81" s="41"/>
      <c r="DJ81" s="3"/>
      <c r="DK81" s="3"/>
      <c r="DL81" s="3"/>
      <c r="DM81" s="3"/>
    </row>
    <row r="82" ht="19.5" customHeight="1">
      <c r="A82" s="153" t="str">
        <f>'Pelan Pengambilan'!B44</f>
        <v/>
      </c>
      <c r="B82" s="154" t="str">
        <f>'Pelan Pengambilan'!C44</f>
        <v/>
      </c>
      <c r="C82" s="153" t="str">
        <f t="array" ref="C82">IFERROR(IF(INDEX(Strategi!$F$5:$F$134,MATCH(LARGE(Strategi!$K$5:$K$134,39),Strategi!$K$5:$K$134,0))="","","("&amp;COUNTIFS('Pelan Pengambilan'!$B$6:$B$44,'Pelan Pengambilan'!$B44,'Pelan Pengambilan'!$C$6:$C$44,'Pelan Pengambilan'!$C44)&amp;") "&amp;INDEX(Strategi!$F$5:$F$134,MATCH(LARGE(Strategi!$K$5:$K$134,39),Strategi!$K$5:$K$134,0))),"")</f>
        <v/>
      </c>
      <c r="D82" s="155" t="s">
        <v>275</v>
      </c>
      <c r="E82" s="156" t="str">
        <f>IFERROR(IF(COUNT('Pelan Pengambilan'!H44,'Pelan Pengambilan'!J44,'Pelan Pengambilan'!L44,'Pelan Pengambilan'!N44,'Pelan Pengambilan'!P44,'Pelan Pengambilan'!R44,'Pelan Pengambilan'!T44,'Pelan Pengambilan'!V44,'Pelan Pengambilan'!X44,'Pelan Pengambilan'!Z44,'Pelan Pengambilan'!AB44,'Pelan Pengambilan'!AD44)=0,"",COUNT('Pelan Pengambilan'!I44,'Pelan Pengambilan'!K44,'Pelan Pengambilan'!M44,'Pelan Pengambilan'!O44,'Pelan Pengambilan'!Q44,'Pelan Pengambilan'!S44,'Pelan Pengambilan'!U44,'Pelan Pengambilan'!W44,'Pelan Pengambilan'!Y44,'Pelan Pengambilan'!AA44,'Pelan Pengambilan'!AC44,'Pelan Pengambilan'!AE44)/COUNT('Pelan Pengambilan'!H44,'Pelan Pengambilan'!J44,'Pelan Pengambilan'!L44,'Pelan Pengambilan'!N44,'Pelan Pengambilan'!P44,'Pelan Pengambilan'!R44,'Pelan Pengambilan'!T44,'Pelan Pengambilan'!V44,'Pelan Pengambilan'!X44,'Pelan Pengambilan'!Z44,'Pelan Pengambilan'!AB44,'Pelan Pengambilan'!AD44)),"")</f>
        <v/>
      </c>
      <c r="F82" s="157" t="str">
        <f>IFERROR(IF('Pelan Pengambilan'!G44="","",'Pelan Pengambilan'!G44),"")</f>
        <v/>
      </c>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158"/>
      <c r="CS82" s="158"/>
      <c r="CT82" s="158"/>
      <c r="CU82" s="158"/>
      <c r="CV82" s="158"/>
      <c r="CW82" s="158"/>
      <c r="CX82" s="158"/>
      <c r="CY82" s="158"/>
      <c r="CZ82" s="158"/>
      <c r="DA82" s="158"/>
      <c r="DB82" s="158"/>
      <c r="DC82" s="158"/>
      <c r="DD82" s="158"/>
      <c r="DE82" s="158"/>
      <c r="DF82" s="158"/>
      <c r="DG82" s="158"/>
      <c r="DH82" s="154" t="str">
        <f>'Pelan Pengambilan'!AF44</f>
        <v/>
      </c>
      <c r="DI82" s="154"/>
      <c r="DJ82" s="3">
        <f>IFERROR(MIN('Pelan Pengambilan'!H44,'Pelan Pengambilan'!J44,'Pelan Pengambilan'!L44,'Pelan Pengambilan'!N44,'Pelan Pengambilan'!P44,'Pelan Pengambilan'!R44,'Pelan Pengambilan'!T44,'Pelan Pengambilan'!V44,'Pelan Pengambilan'!X44,'Pelan Pengambilan'!Z44,'Pelan Pengambilan'!AB44,'Pelan Pengambilan'!AD44),"")</f>
        <v>0</v>
      </c>
      <c r="DK82" s="3">
        <f>IFERROR(MAX('Pelan Pengambilan'!H44,'Pelan Pengambilan'!J44,'Pelan Pengambilan'!L44,'Pelan Pengambilan'!N44,'Pelan Pengambilan'!P44,'Pelan Pengambilan'!R44,'Pelan Pengambilan'!T44,'Pelan Pengambilan'!V44,'Pelan Pengambilan'!X44,'Pelan Pengambilan'!Z44,'Pelan Pengambilan'!AB44,'Pelan Pengambilan'!AD44),"")</f>
        <v>0</v>
      </c>
      <c r="DL82" s="3">
        <f>IFERROR(MIN('Pelan Pengambilan'!I44,'Pelan Pengambilan'!K44,'Pelan Pengambilan'!M44,'Pelan Pengambilan'!O44,'Pelan Pengambilan'!Q44,'Pelan Pengambilan'!S44,'Pelan Pengambilan'!U44,'Pelan Pengambilan'!W44,'Pelan Pengambilan'!Y44,'Pelan Pengambilan'!AA44,'Pelan Pengambilan'!AC44,'Pelan Pengambilan'!AE44),"")</f>
        <v>0</v>
      </c>
      <c r="DM82" s="3">
        <f>IFERROR(MAX('Pelan Pengambilan'!I44,'Pelan Pengambilan'!K44,'Pelan Pengambilan'!M44,'Pelan Pengambilan'!O44,'Pelan Pengambilan'!Q44,'Pelan Pengambilan'!S44,'Pelan Pengambilan'!U44,'Pelan Pengambilan'!W44,'Pelan Pengambilan'!Y44,'Pelan Pengambilan'!AA44,'Pelan Pengambilan'!AC44,'Pelan Pengambilan'!AE44),"")</f>
        <v>0</v>
      </c>
    </row>
    <row r="83" ht="19.5" customHeight="1">
      <c r="A83" s="41"/>
      <c r="B83" s="41"/>
      <c r="C83" s="41"/>
      <c r="D83" s="155" t="s">
        <v>276</v>
      </c>
      <c r="E83" s="41"/>
      <c r="F83" s="41"/>
      <c r="G83" s="158"/>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158"/>
      <c r="CS83" s="158"/>
      <c r="CT83" s="158"/>
      <c r="CU83" s="158"/>
      <c r="CV83" s="158"/>
      <c r="CW83" s="158"/>
      <c r="CX83" s="158"/>
      <c r="CY83" s="158"/>
      <c r="CZ83" s="158"/>
      <c r="DA83" s="158"/>
      <c r="DB83" s="158"/>
      <c r="DC83" s="158"/>
      <c r="DD83" s="158"/>
      <c r="DE83" s="158"/>
      <c r="DF83" s="158"/>
      <c r="DG83" s="158"/>
      <c r="DH83" s="41"/>
      <c r="DI83" s="41"/>
      <c r="DJ83" s="3"/>
      <c r="DK83" s="3"/>
      <c r="DL83" s="3"/>
      <c r="DM83" s="3"/>
    </row>
    <row r="84" ht="19.5" customHeight="1">
      <c r="A84" s="153" t="str">
        <f>'Pelan Pengambilan'!B45</f>
        <v/>
      </c>
      <c r="B84" s="154" t="str">
        <f>'Pelan Pengambilan'!C45</f>
        <v/>
      </c>
      <c r="C84" s="153" t="str">
        <f t="array" ref="C84">IFERROR(IF(INDEX(Strategi!$F$5:$F$134,MATCH(LARGE(Strategi!$K$5:$K$134,40),Strategi!$K$5:$K$134,0))="","","("&amp;COUNTIFS('Pelan Pengambilan'!$B$6:$B$45,'Pelan Pengambilan'!$B45,'Pelan Pengambilan'!$C$6:$C$45,'Pelan Pengambilan'!$C45)&amp;") "&amp;INDEX(Strategi!$F$5:$F$134,MATCH(LARGE(Strategi!$K$5:$K$134,40),Strategi!$K$5:$K$134,0))),"")</f>
        <v/>
      </c>
      <c r="D84" s="155" t="s">
        <v>275</v>
      </c>
      <c r="E84" s="156" t="str">
        <f>IFERROR(IF(COUNT('Pelan Pengambilan'!H45,'Pelan Pengambilan'!J45,'Pelan Pengambilan'!L45,'Pelan Pengambilan'!N45,'Pelan Pengambilan'!P45,'Pelan Pengambilan'!R45,'Pelan Pengambilan'!T45,'Pelan Pengambilan'!V45,'Pelan Pengambilan'!X45,'Pelan Pengambilan'!Z45,'Pelan Pengambilan'!AB45,'Pelan Pengambilan'!AD45)=0,"",COUNT('Pelan Pengambilan'!I45,'Pelan Pengambilan'!K45,'Pelan Pengambilan'!M45,'Pelan Pengambilan'!O45,'Pelan Pengambilan'!Q45,'Pelan Pengambilan'!S45,'Pelan Pengambilan'!U45,'Pelan Pengambilan'!W45,'Pelan Pengambilan'!Y45,'Pelan Pengambilan'!AA45,'Pelan Pengambilan'!AC45,'Pelan Pengambilan'!AE45)/COUNT('Pelan Pengambilan'!H45,'Pelan Pengambilan'!J45,'Pelan Pengambilan'!L45,'Pelan Pengambilan'!N45,'Pelan Pengambilan'!P45,'Pelan Pengambilan'!R45,'Pelan Pengambilan'!T45,'Pelan Pengambilan'!V45,'Pelan Pengambilan'!X45,'Pelan Pengambilan'!Z45,'Pelan Pengambilan'!AB45,'Pelan Pengambilan'!AD45)),"")</f>
        <v/>
      </c>
      <c r="F84" s="157" t="str">
        <f>IFERROR(IF('Pelan Pengambilan'!G45="","",'Pelan Pengambilan'!G45),"")</f>
        <v/>
      </c>
      <c r="G84" s="158"/>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c r="CS84" s="158"/>
      <c r="CT84" s="158"/>
      <c r="CU84" s="158"/>
      <c r="CV84" s="158"/>
      <c r="CW84" s="158"/>
      <c r="CX84" s="158"/>
      <c r="CY84" s="158"/>
      <c r="CZ84" s="158"/>
      <c r="DA84" s="158"/>
      <c r="DB84" s="158"/>
      <c r="DC84" s="158"/>
      <c r="DD84" s="158"/>
      <c r="DE84" s="158"/>
      <c r="DF84" s="158"/>
      <c r="DG84" s="158"/>
      <c r="DH84" s="154" t="str">
        <f>'Pelan Pengambilan'!AF45</f>
        <v/>
      </c>
      <c r="DI84" s="154"/>
      <c r="DJ84" s="3">
        <f>IFERROR(MIN('Pelan Pengambilan'!H45,'Pelan Pengambilan'!J45,'Pelan Pengambilan'!L45,'Pelan Pengambilan'!N45,'Pelan Pengambilan'!P45,'Pelan Pengambilan'!R45,'Pelan Pengambilan'!T45,'Pelan Pengambilan'!V45,'Pelan Pengambilan'!X45,'Pelan Pengambilan'!Z45,'Pelan Pengambilan'!AB45,'Pelan Pengambilan'!AD45),"")</f>
        <v>0</v>
      </c>
      <c r="DK84" s="3">
        <f>IFERROR(MAX('Pelan Pengambilan'!H45,'Pelan Pengambilan'!J45,'Pelan Pengambilan'!L45,'Pelan Pengambilan'!N45,'Pelan Pengambilan'!P45,'Pelan Pengambilan'!R45,'Pelan Pengambilan'!T45,'Pelan Pengambilan'!V45,'Pelan Pengambilan'!X45,'Pelan Pengambilan'!Z45,'Pelan Pengambilan'!AB45,'Pelan Pengambilan'!AD45),"")</f>
        <v>0</v>
      </c>
      <c r="DL84" s="3">
        <f>IFERROR(MIN('Pelan Pengambilan'!I45,'Pelan Pengambilan'!K45,'Pelan Pengambilan'!M45,'Pelan Pengambilan'!O45,'Pelan Pengambilan'!Q45,'Pelan Pengambilan'!S45,'Pelan Pengambilan'!U45,'Pelan Pengambilan'!W45,'Pelan Pengambilan'!Y45,'Pelan Pengambilan'!AA45,'Pelan Pengambilan'!AC45,'Pelan Pengambilan'!AE45),"")</f>
        <v>0</v>
      </c>
      <c r="DM84" s="3">
        <f>IFERROR(MAX('Pelan Pengambilan'!I45,'Pelan Pengambilan'!K45,'Pelan Pengambilan'!M45,'Pelan Pengambilan'!O45,'Pelan Pengambilan'!Q45,'Pelan Pengambilan'!S45,'Pelan Pengambilan'!U45,'Pelan Pengambilan'!W45,'Pelan Pengambilan'!Y45,'Pelan Pengambilan'!AA45,'Pelan Pengambilan'!AC45,'Pelan Pengambilan'!AE45),"")</f>
        <v>0</v>
      </c>
    </row>
    <row r="85" ht="19.5" customHeight="1">
      <c r="A85" s="41"/>
      <c r="B85" s="41"/>
      <c r="C85" s="41"/>
      <c r="D85" s="155" t="s">
        <v>276</v>
      </c>
      <c r="E85" s="41"/>
      <c r="F85" s="41"/>
      <c r="G85" s="158"/>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c r="CR85" s="158"/>
      <c r="CS85" s="158"/>
      <c r="CT85" s="158"/>
      <c r="CU85" s="158"/>
      <c r="CV85" s="158"/>
      <c r="CW85" s="158"/>
      <c r="CX85" s="158"/>
      <c r="CY85" s="158"/>
      <c r="CZ85" s="158"/>
      <c r="DA85" s="158"/>
      <c r="DB85" s="158"/>
      <c r="DC85" s="158"/>
      <c r="DD85" s="158"/>
      <c r="DE85" s="158"/>
      <c r="DF85" s="158"/>
      <c r="DG85" s="158"/>
      <c r="DH85" s="41"/>
      <c r="DI85" s="41"/>
      <c r="DJ85" s="3"/>
      <c r="DK85" s="3"/>
      <c r="DL85" s="3"/>
      <c r="DM85" s="3"/>
    </row>
    <row r="86" ht="19.5" customHeight="1">
      <c r="A86" s="153" t="str">
        <f>'Pelan Pengambilan'!B46</f>
        <v/>
      </c>
      <c r="B86" s="154" t="str">
        <f>'Pelan Pengambilan'!C46</f>
        <v/>
      </c>
      <c r="C86" s="153" t="str">
        <f t="array" ref="C86">IFERROR(IF(INDEX(Strategi!$F$5:$F$134,MATCH(LARGE(Strategi!$K$5:$K$134,41),Strategi!$K$5:$K$134,0))="","","("&amp;COUNTIFS('Pelan Pengambilan'!$B$6:$B$46,'Pelan Pengambilan'!$B46,'Pelan Pengambilan'!$C$6:$C$46,'Pelan Pengambilan'!$C46)&amp;") "&amp;INDEX(Strategi!$F$5:$F$134,MATCH(LARGE(Strategi!$K$5:$K$134,41),Strategi!$K$5:$K$134,0))),"")</f>
        <v/>
      </c>
      <c r="D86" s="155" t="s">
        <v>275</v>
      </c>
      <c r="E86" s="156" t="str">
        <f>IFERROR(IF(COUNT('Pelan Pengambilan'!H46,'Pelan Pengambilan'!J46,'Pelan Pengambilan'!L46,'Pelan Pengambilan'!N46,'Pelan Pengambilan'!P46,'Pelan Pengambilan'!R46,'Pelan Pengambilan'!T46,'Pelan Pengambilan'!V46,'Pelan Pengambilan'!X46,'Pelan Pengambilan'!Z46,'Pelan Pengambilan'!AB46,'Pelan Pengambilan'!AD46)=0,"",COUNT('Pelan Pengambilan'!I46,'Pelan Pengambilan'!K46,'Pelan Pengambilan'!M46,'Pelan Pengambilan'!O46,'Pelan Pengambilan'!Q46,'Pelan Pengambilan'!S46,'Pelan Pengambilan'!U46,'Pelan Pengambilan'!W46,'Pelan Pengambilan'!Y46,'Pelan Pengambilan'!AA46,'Pelan Pengambilan'!AC46,'Pelan Pengambilan'!AE46)/COUNT('Pelan Pengambilan'!H46,'Pelan Pengambilan'!J46,'Pelan Pengambilan'!L46,'Pelan Pengambilan'!N46,'Pelan Pengambilan'!P46,'Pelan Pengambilan'!R46,'Pelan Pengambilan'!T46,'Pelan Pengambilan'!V46,'Pelan Pengambilan'!X46,'Pelan Pengambilan'!Z46,'Pelan Pengambilan'!AB46,'Pelan Pengambilan'!AD46)),"")</f>
        <v/>
      </c>
      <c r="F86" s="157" t="str">
        <f>IFERROR(IF('Pelan Pengambilan'!G46="","",'Pelan Pengambilan'!G46),"")</f>
        <v/>
      </c>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c r="CR86" s="158"/>
      <c r="CS86" s="158"/>
      <c r="CT86" s="158"/>
      <c r="CU86" s="158"/>
      <c r="CV86" s="158"/>
      <c r="CW86" s="158"/>
      <c r="CX86" s="158"/>
      <c r="CY86" s="158"/>
      <c r="CZ86" s="158"/>
      <c r="DA86" s="158"/>
      <c r="DB86" s="158"/>
      <c r="DC86" s="158"/>
      <c r="DD86" s="158"/>
      <c r="DE86" s="158"/>
      <c r="DF86" s="158"/>
      <c r="DG86" s="158"/>
      <c r="DH86" s="154" t="str">
        <f>'Pelan Pengambilan'!AF46</f>
        <v/>
      </c>
      <c r="DI86" s="154"/>
      <c r="DJ86" s="3">
        <f>IFERROR(MIN('Pelan Pengambilan'!H46,'Pelan Pengambilan'!J46,'Pelan Pengambilan'!L46,'Pelan Pengambilan'!N46,'Pelan Pengambilan'!P46,'Pelan Pengambilan'!R46,'Pelan Pengambilan'!T46,'Pelan Pengambilan'!V46,'Pelan Pengambilan'!X46,'Pelan Pengambilan'!Z46,'Pelan Pengambilan'!AB46,'Pelan Pengambilan'!AD46),"")</f>
        <v>0</v>
      </c>
      <c r="DK86" s="3">
        <f>IFERROR(MAX('Pelan Pengambilan'!H46,'Pelan Pengambilan'!J46,'Pelan Pengambilan'!L46,'Pelan Pengambilan'!N46,'Pelan Pengambilan'!P46,'Pelan Pengambilan'!R46,'Pelan Pengambilan'!T46,'Pelan Pengambilan'!V46,'Pelan Pengambilan'!X46,'Pelan Pengambilan'!Z46,'Pelan Pengambilan'!AB46,'Pelan Pengambilan'!AD46),"")</f>
        <v>0</v>
      </c>
      <c r="DL86" s="3">
        <f>IFERROR(MIN('Pelan Pengambilan'!I46,'Pelan Pengambilan'!K46,'Pelan Pengambilan'!M46,'Pelan Pengambilan'!O46,'Pelan Pengambilan'!Q46,'Pelan Pengambilan'!S46,'Pelan Pengambilan'!U46,'Pelan Pengambilan'!W46,'Pelan Pengambilan'!Y46,'Pelan Pengambilan'!AA46,'Pelan Pengambilan'!AC46,'Pelan Pengambilan'!AE46),"")</f>
        <v>0</v>
      </c>
      <c r="DM86" s="3">
        <f>IFERROR(MAX('Pelan Pengambilan'!I46,'Pelan Pengambilan'!K46,'Pelan Pengambilan'!M46,'Pelan Pengambilan'!O46,'Pelan Pengambilan'!Q46,'Pelan Pengambilan'!S46,'Pelan Pengambilan'!U46,'Pelan Pengambilan'!W46,'Pelan Pengambilan'!Y46,'Pelan Pengambilan'!AA46,'Pelan Pengambilan'!AC46,'Pelan Pengambilan'!AE46),"")</f>
        <v>0</v>
      </c>
    </row>
    <row r="87" ht="19.5" customHeight="1">
      <c r="A87" s="41"/>
      <c r="B87" s="41"/>
      <c r="C87" s="41"/>
      <c r="D87" s="155" t="s">
        <v>276</v>
      </c>
      <c r="E87" s="41"/>
      <c r="F87" s="41"/>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c r="CS87" s="158"/>
      <c r="CT87" s="158"/>
      <c r="CU87" s="158"/>
      <c r="CV87" s="158"/>
      <c r="CW87" s="158"/>
      <c r="CX87" s="158"/>
      <c r="CY87" s="158"/>
      <c r="CZ87" s="158"/>
      <c r="DA87" s="158"/>
      <c r="DB87" s="158"/>
      <c r="DC87" s="158"/>
      <c r="DD87" s="158"/>
      <c r="DE87" s="158"/>
      <c r="DF87" s="158"/>
      <c r="DG87" s="158"/>
      <c r="DH87" s="41"/>
      <c r="DI87" s="41"/>
      <c r="DJ87" s="3"/>
      <c r="DK87" s="3"/>
      <c r="DL87" s="3"/>
      <c r="DM87" s="3"/>
    </row>
    <row r="88" ht="19.5" customHeight="1">
      <c r="A88" s="153" t="str">
        <f>'Pelan Pengambilan'!B47</f>
        <v/>
      </c>
      <c r="B88" s="154" t="str">
        <f>'Pelan Pengambilan'!C47</f>
        <v/>
      </c>
      <c r="C88" s="153" t="str">
        <f t="array" ref="C88">IFERROR(IF(INDEX(Strategi!$F$5:$F$134,MATCH(LARGE(Strategi!$K$5:$K$134,42),Strategi!$K$5:$K$134,0))="","","("&amp;COUNTIFS('Pelan Pengambilan'!$B$6:$B$47,'Pelan Pengambilan'!$B47,'Pelan Pengambilan'!$C$6:$C$47,'Pelan Pengambilan'!$C47)&amp;") "&amp;INDEX(Strategi!$F$5:$F$134,MATCH(LARGE(Strategi!$K$5:$K$134,42),Strategi!$K$5:$K$134,0))),"")</f>
        <v/>
      </c>
      <c r="D88" s="155" t="s">
        <v>275</v>
      </c>
      <c r="E88" s="156" t="str">
        <f>IFERROR(IF(COUNT('Pelan Pengambilan'!H47,'Pelan Pengambilan'!J47,'Pelan Pengambilan'!L47,'Pelan Pengambilan'!N47,'Pelan Pengambilan'!P47,'Pelan Pengambilan'!R47,'Pelan Pengambilan'!T47,'Pelan Pengambilan'!V47,'Pelan Pengambilan'!X47,'Pelan Pengambilan'!Z47,'Pelan Pengambilan'!AB47,'Pelan Pengambilan'!AD47)=0,"",COUNT('Pelan Pengambilan'!I47,'Pelan Pengambilan'!K47,'Pelan Pengambilan'!M47,'Pelan Pengambilan'!O47,'Pelan Pengambilan'!Q47,'Pelan Pengambilan'!S47,'Pelan Pengambilan'!U47,'Pelan Pengambilan'!W47,'Pelan Pengambilan'!Y47,'Pelan Pengambilan'!AA47,'Pelan Pengambilan'!AC47,'Pelan Pengambilan'!AE47)/COUNT('Pelan Pengambilan'!H47,'Pelan Pengambilan'!J47,'Pelan Pengambilan'!L47,'Pelan Pengambilan'!N47,'Pelan Pengambilan'!P47,'Pelan Pengambilan'!R47,'Pelan Pengambilan'!T47,'Pelan Pengambilan'!V47,'Pelan Pengambilan'!X47,'Pelan Pengambilan'!Z47,'Pelan Pengambilan'!AB47,'Pelan Pengambilan'!AD47)),"")</f>
        <v/>
      </c>
      <c r="F88" s="157" t="str">
        <f>IFERROR(IF('Pelan Pengambilan'!G47="","",'Pelan Pengambilan'!G47),"")</f>
        <v/>
      </c>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c r="CR88" s="158"/>
      <c r="CS88" s="158"/>
      <c r="CT88" s="158"/>
      <c r="CU88" s="158"/>
      <c r="CV88" s="158"/>
      <c r="CW88" s="158"/>
      <c r="CX88" s="158"/>
      <c r="CY88" s="158"/>
      <c r="CZ88" s="158"/>
      <c r="DA88" s="158"/>
      <c r="DB88" s="158"/>
      <c r="DC88" s="158"/>
      <c r="DD88" s="158"/>
      <c r="DE88" s="158"/>
      <c r="DF88" s="158"/>
      <c r="DG88" s="158"/>
      <c r="DH88" s="154" t="str">
        <f>'Pelan Pengambilan'!AF47</f>
        <v/>
      </c>
      <c r="DI88" s="154"/>
      <c r="DJ88" s="3">
        <f>IFERROR(MIN('Pelan Pengambilan'!H47,'Pelan Pengambilan'!J47,'Pelan Pengambilan'!L47,'Pelan Pengambilan'!N47,'Pelan Pengambilan'!P47,'Pelan Pengambilan'!R47,'Pelan Pengambilan'!T47,'Pelan Pengambilan'!V47,'Pelan Pengambilan'!X47,'Pelan Pengambilan'!Z47,'Pelan Pengambilan'!AB47,'Pelan Pengambilan'!AD47),"")</f>
        <v>0</v>
      </c>
      <c r="DK88" s="3">
        <f>IFERROR(MAX('Pelan Pengambilan'!H47,'Pelan Pengambilan'!J47,'Pelan Pengambilan'!L47,'Pelan Pengambilan'!N47,'Pelan Pengambilan'!P47,'Pelan Pengambilan'!R47,'Pelan Pengambilan'!T47,'Pelan Pengambilan'!V47,'Pelan Pengambilan'!X47,'Pelan Pengambilan'!Z47,'Pelan Pengambilan'!AB47,'Pelan Pengambilan'!AD47),"")</f>
        <v>0</v>
      </c>
      <c r="DL88" s="3">
        <f>IFERROR(MIN('Pelan Pengambilan'!I47,'Pelan Pengambilan'!K47,'Pelan Pengambilan'!M47,'Pelan Pengambilan'!O47,'Pelan Pengambilan'!Q47,'Pelan Pengambilan'!S47,'Pelan Pengambilan'!U47,'Pelan Pengambilan'!W47,'Pelan Pengambilan'!Y47,'Pelan Pengambilan'!AA47,'Pelan Pengambilan'!AC47,'Pelan Pengambilan'!AE47),"")</f>
        <v>0</v>
      </c>
      <c r="DM88" s="3">
        <f>IFERROR(MAX('Pelan Pengambilan'!I47,'Pelan Pengambilan'!K47,'Pelan Pengambilan'!M47,'Pelan Pengambilan'!O47,'Pelan Pengambilan'!Q47,'Pelan Pengambilan'!S47,'Pelan Pengambilan'!U47,'Pelan Pengambilan'!W47,'Pelan Pengambilan'!Y47,'Pelan Pengambilan'!AA47,'Pelan Pengambilan'!AC47,'Pelan Pengambilan'!AE47),"")</f>
        <v>0</v>
      </c>
    </row>
    <row r="89" ht="19.5" customHeight="1">
      <c r="A89" s="41"/>
      <c r="B89" s="41"/>
      <c r="C89" s="41"/>
      <c r="D89" s="155" t="s">
        <v>276</v>
      </c>
      <c r="E89" s="41"/>
      <c r="F89" s="41"/>
      <c r="G89" s="158"/>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c r="CR89" s="158"/>
      <c r="CS89" s="158"/>
      <c r="CT89" s="158"/>
      <c r="CU89" s="158"/>
      <c r="CV89" s="158"/>
      <c r="CW89" s="158"/>
      <c r="CX89" s="158"/>
      <c r="CY89" s="158"/>
      <c r="CZ89" s="158"/>
      <c r="DA89" s="158"/>
      <c r="DB89" s="158"/>
      <c r="DC89" s="158"/>
      <c r="DD89" s="158"/>
      <c r="DE89" s="158"/>
      <c r="DF89" s="158"/>
      <c r="DG89" s="158"/>
      <c r="DH89" s="41"/>
      <c r="DI89" s="41"/>
      <c r="DJ89" s="3"/>
      <c r="DK89" s="3"/>
      <c r="DL89" s="3"/>
      <c r="DM89" s="3"/>
    </row>
    <row r="90" ht="19.5" customHeight="1">
      <c r="A90" s="153" t="str">
        <f>'Pelan Pengambilan'!B48</f>
        <v/>
      </c>
      <c r="B90" s="154" t="str">
        <f>'Pelan Pengambilan'!C48</f>
        <v/>
      </c>
      <c r="C90" s="153" t="str">
        <f t="array" ref="C90">IFERROR(IF(INDEX(Strategi!$F$5:$F$134,MATCH(LARGE(Strategi!$K$5:$K$134,43),Strategi!$K$5:$K$134,0))="","","("&amp;COUNTIFS('Pelan Pengambilan'!$B$6:$B$48,'Pelan Pengambilan'!$B48,'Pelan Pengambilan'!$C$6:$C$48,'Pelan Pengambilan'!$C48)&amp;") "&amp;INDEX(Strategi!$F$5:$F$134,MATCH(LARGE(Strategi!$K$5:$K$134,43),Strategi!$K$5:$K$134,0))),"")</f>
        <v/>
      </c>
      <c r="D90" s="155" t="s">
        <v>275</v>
      </c>
      <c r="E90" s="156" t="str">
        <f>IFERROR(IF(COUNT('Pelan Pengambilan'!H48,'Pelan Pengambilan'!J48,'Pelan Pengambilan'!L48,'Pelan Pengambilan'!N48,'Pelan Pengambilan'!P48,'Pelan Pengambilan'!R48,'Pelan Pengambilan'!T48,'Pelan Pengambilan'!V48,'Pelan Pengambilan'!X48,'Pelan Pengambilan'!Z48,'Pelan Pengambilan'!AB48,'Pelan Pengambilan'!AD48)=0,"",COUNT('Pelan Pengambilan'!I48,'Pelan Pengambilan'!K48,'Pelan Pengambilan'!M48,'Pelan Pengambilan'!O48,'Pelan Pengambilan'!Q48,'Pelan Pengambilan'!S48,'Pelan Pengambilan'!U48,'Pelan Pengambilan'!W48,'Pelan Pengambilan'!Y48,'Pelan Pengambilan'!AA48,'Pelan Pengambilan'!AC48,'Pelan Pengambilan'!AE48)/COUNT('Pelan Pengambilan'!H48,'Pelan Pengambilan'!J48,'Pelan Pengambilan'!L48,'Pelan Pengambilan'!N48,'Pelan Pengambilan'!P48,'Pelan Pengambilan'!R48,'Pelan Pengambilan'!T48,'Pelan Pengambilan'!V48,'Pelan Pengambilan'!X48,'Pelan Pengambilan'!Z48,'Pelan Pengambilan'!AB48,'Pelan Pengambilan'!AD48)),"")</f>
        <v/>
      </c>
      <c r="F90" s="157" t="str">
        <f>IFERROR(IF('Pelan Pengambilan'!G48="","",'Pelan Pengambilan'!G48),"")</f>
        <v/>
      </c>
      <c r="G90" s="158"/>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c r="CS90" s="158"/>
      <c r="CT90" s="158"/>
      <c r="CU90" s="158"/>
      <c r="CV90" s="158"/>
      <c r="CW90" s="158"/>
      <c r="CX90" s="158"/>
      <c r="CY90" s="158"/>
      <c r="CZ90" s="158"/>
      <c r="DA90" s="158"/>
      <c r="DB90" s="158"/>
      <c r="DC90" s="158"/>
      <c r="DD90" s="158"/>
      <c r="DE90" s="158"/>
      <c r="DF90" s="158"/>
      <c r="DG90" s="158"/>
      <c r="DH90" s="154" t="str">
        <f>'Pelan Pengambilan'!AF48</f>
        <v/>
      </c>
      <c r="DI90" s="154"/>
      <c r="DJ90" s="3">
        <f>IFERROR(MIN('Pelan Pengambilan'!H48,'Pelan Pengambilan'!J48,'Pelan Pengambilan'!L48,'Pelan Pengambilan'!N48,'Pelan Pengambilan'!P48,'Pelan Pengambilan'!R48,'Pelan Pengambilan'!T48,'Pelan Pengambilan'!V48,'Pelan Pengambilan'!X48,'Pelan Pengambilan'!Z48,'Pelan Pengambilan'!AB48,'Pelan Pengambilan'!AD48),"")</f>
        <v>0</v>
      </c>
      <c r="DK90" s="3">
        <f>IFERROR(MAX('Pelan Pengambilan'!H48,'Pelan Pengambilan'!J48,'Pelan Pengambilan'!L48,'Pelan Pengambilan'!N48,'Pelan Pengambilan'!P48,'Pelan Pengambilan'!R48,'Pelan Pengambilan'!T48,'Pelan Pengambilan'!V48,'Pelan Pengambilan'!X48,'Pelan Pengambilan'!Z48,'Pelan Pengambilan'!AB48,'Pelan Pengambilan'!AD48),"")</f>
        <v>0</v>
      </c>
      <c r="DL90" s="3">
        <f>IFERROR(MIN('Pelan Pengambilan'!I48,'Pelan Pengambilan'!K48,'Pelan Pengambilan'!M48,'Pelan Pengambilan'!O48,'Pelan Pengambilan'!Q48,'Pelan Pengambilan'!S48,'Pelan Pengambilan'!U48,'Pelan Pengambilan'!W48,'Pelan Pengambilan'!Y48,'Pelan Pengambilan'!AA48,'Pelan Pengambilan'!AC48,'Pelan Pengambilan'!AE48),"")</f>
        <v>0</v>
      </c>
      <c r="DM90" s="3">
        <f>IFERROR(MAX('Pelan Pengambilan'!I48,'Pelan Pengambilan'!K48,'Pelan Pengambilan'!M48,'Pelan Pengambilan'!O48,'Pelan Pengambilan'!Q48,'Pelan Pengambilan'!S48,'Pelan Pengambilan'!U48,'Pelan Pengambilan'!W48,'Pelan Pengambilan'!Y48,'Pelan Pengambilan'!AA48,'Pelan Pengambilan'!AC48,'Pelan Pengambilan'!AE48),"")</f>
        <v>0</v>
      </c>
    </row>
    <row r="91" ht="19.5" customHeight="1">
      <c r="A91" s="41"/>
      <c r="B91" s="41"/>
      <c r="C91" s="41"/>
      <c r="D91" s="155" t="s">
        <v>276</v>
      </c>
      <c r="E91" s="41"/>
      <c r="F91" s="41"/>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41"/>
      <c r="DI91" s="41"/>
      <c r="DJ91" s="3"/>
      <c r="DK91" s="3"/>
      <c r="DL91" s="3"/>
      <c r="DM91" s="3"/>
    </row>
    <row r="92" ht="19.5" customHeight="1">
      <c r="A92" s="153" t="str">
        <f>'Pelan Pengambilan'!B49</f>
        <v/>
      </c>
      <c r="B92" s="154" t="str">
        <f>'Pelan Pengambilan'!C49</f>
        <v/>
      </c>
      <c r="C92" s="153" t="str">
        <f t="array" ref="C92">IFERROR(IF(INDEX(Strategi!$F$5:$F$134,MATCH(LARGE(Strategi!$K$5:$K$134,44),Strategi!$K$5:$K$134,0))="","","("&amp;COUNTIFS('Pelan Pengambilan'!$B$6:$B$49,'Pelan Pengambilan'!$B49,'Pelan Pengambilan'!$C$6:$C$49,'Pelan Pengambilan'!$C49)&amp;") "&amp;INDEX(Strategi!$F$5:$F$134,MATCH(LARGE(Strategi!$K$5:$K$134,44),Strategi!$K$5:$K$134,0))),"")</f>
        <v/>
      </c>
      <c r="D92" s="155" t="s">
        <v>275</v>
      </c>
      <c r="E92" s="156" t="str">
        <f>IFERROR(IF(COUNT('Pelan Pengambilan'!H49,'Pelan Pengambilan'!J49,'Pelan Pengambilan'!L49,'Pelan Pengambilan'!N49,'Pelan Pengambilan'!P49,'Pelan Pengambilan'!R49,'Pelan Pengambilan'!T49,'Pelan Pengambilan'!V49,'Pelan Pengambilan'!X49,'Pelan Pengambilan'!Z49,'Pelan Pengambilan'!AB49,'Pelan Pengambilan'!AD49)=0,"",COUNT('Pelan Pengambilan'!I49,'Pelan Pengambilan'!K49,'Pelan Pengambilan'!M49,'Pelan Pengambilan'!O49,'Pelan Pengambilan'!Q49,'Pelan Pengambilan'!S49,'Pelan Pengambilan'!U49,'Pelan Pengambilan'!W49,'Pelan Pengambilan'!Y49,'Pelan Pengambilan'!AA49,'Pelan Pengambilan'!AC49,'Pelan Pengambilan'!AE49)/COUNT('Pelan Pengambilan'!H49,'Pelan Pengambilan'!J49,'Pelan Pengambilan'!L49,'Pelan Pengambilan'!N49,'Pelan Pengambilan'!P49,'Pelan Pengambilan'!R49,'Pelan Pengambilan'!T49,'Pelan Pengambilan'!V49,'Pelan Pengambilan'!X49,'Pelan Pengambilan'!Z49,'Pelan Pengambilan'!AB49,'Pelan Pengambilan'!AD49)),"")</f>
        <v/>
      </c>
      <c r="F92" s="157" t="str">
        <f>IFERROR(IF('Pelan Pengambilan'!G49="","",'Pelan Pengambilan'!G49),"")</f>
        <v/>
      </c>
      <c r="G92" s="158"/>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c r="CR92" s="158"/>
      <c r="CS92" s="158"/>
      <c r="CT92" s="158"/>
      <c r="CU92" s="158"/>
      <c r="CV92" s="158"/>
      <c r="CW92" s="158"/>
      <c r="CX92" s="158"/>
      <c r="CY92" s="158"/>
      <c r="CZ92" s="158"/>
      <c r="DA92" s="158"/>
      <c r="DB92" s="158"/>
      <c r="DC92" s="158"/>
      <c r="DD92" s="158"/>
      <c r="DE92" s="158"/>
      <c r="DF92" s="158"/>
      <c r="DG92" s="158"/>
      <c r="DH92" s="154" t="str">
        <f>'Pelan Pengambilan'!AF49</f>
        <v/>
      </c>
      <c r="DI92" s="154"/>
      <c r="DJ92" s="3">
        <f>IFERROR(MIN('Pelan Pengambilan'!H49,'Pelan Pengambilan'!J49,'Pelan Pengambilan'!L49,'Pelan Pengambilan'!N49,'Pelan Pengambilan'!P49,'Pelan Pengambilan'!R49,'Pelan Pengambilan'!T49,'Pelan Pengambilan'!V49,'Pelan Pengambilan'!X49,'Pelan Pengambilan'!Z49,'Pelan Pengambilan'!AB49,'Pelan Pengambilan'!AD49),"")</f>
        <v>0</v>
      </c>
      <c r="DK92" s="3">
        <f>IFERROR(MAX('Pelan Pengambilan'!H49,'Pelan Pengambilan'!J49,'Pelan Pengambilan'!L49,'Pelan Pengambilan'!N49,'Pelan Pengambilan'!P49,'Pelan Pengambilan'!R49,'Pelan Pengambilan'!T49,'Pelan Pengambilan'!V49,'Pelan Pengambilan'!X49,'Pelan Pengambilan'!Z49,'Pelan Pengambilan'!AB49,'Pelan Pengambilan'!AD49),"")</f>
        <v>0</v>
      </c>
      <c r="DL92" s="3">
        <f>IFERROR(MIN('Pelan Pengambilan'!I49,'Pelan Pengambilan'!K49,'Pelan Pengambilan'!M49,'Pelan Pengambilan'!O49,'Pelan Pengambilan'!Q49,'Pelan Pengambilan'!S49,'Pelan Pengambilan'!U49,'Pelan Pengambilan'!W49,'Pelan Pengambilan'!Y49,'Pelan Pengambilan'!AA49,'Pelan Pengambilan'!AC49,'Pelan Pengambilan'!AE49),"")</f>
        <v>0</v>
      </c>
      <c r="DM92" s="3">
        <f>IFERROR(MAX('Pelan Pengambilan'!I49,'Pelan Pengambilan'!K49,'Pelan Pengambilan'!M49,'Pelan Pengambilan'!O49,'Pelan Pengambilan'!Q49,'Pelan Pengambilan'!S49,'Pelan Pengambilan'!U49,'Pelan Pengambilan'!W49,'Pelan Pengambilan'!Y49,'Pelan Pengambilan'!AA49,'Pelan Pengambilan'!AC49,'Pelan Pengambilan'!AE49),"")</f>
        <v>0</v>
      </c>
    </row>
    <row r="93" ht="19.5" customHeight="1">
      <c r="A93" s="41"/>
      <c r="B93" s="41"/>
      <c r="C93" s="41"/>
      <c r="D93" s="155" t="s">
        <v>276</v>
      </c>
      <c r="E93" s="41"/>
      <c r="F93" s="41"/>
      <c r="G93" s="158"/>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c r="CS93" s="158"/>
      <c r="CT93" s="158"/>
      <c r="CU93" s="158"/>
      <c r="CV93" s="158"/>
      <c r="CW93" s="158"/>
      <c r="CX93" s="158"/>
      <c r="CY93" s="158"/>
      <c r="CZ93" s="158"/>
      <c r="DA93" s="158"/>
      <c r="DB93" s="158"/>
      <c r="DC93" s="158"/>
      <c r="DD93" s="158"/>
      <c r="DE93" s="158"/>
      <c r="DF93" s="158"/>
      <c r="DG93" s="158"/>
      <c r="DH93" s="41"/>
      <c r="DI93" s="41"/>
      <c r="DJ93" s="3"/>
      <c r="DK93" s="3"/>
      <c r="DL93" s="3"/>
      <c r="DM93" s="3"/>
    </row>
    <row r="94" ht="19.5" customHeight="1">
      <c r="A94" s="153" t="str">
        <f>'Pelan Pengambilan'!B50</f>
        <v/>
      </c>
      <c r="B94" s="154" t="str">
        <f>'Pelan Pengambilan'!C50</f>
        <v/>
      </c>
      <c r="C94" s="153" t="str">
        <f t="array" ref="C94">IFERROR(IF(INDEX(Strategi!$F$5:$F$134,MATCH(LARGE(Strategi!$K$5:$K$134,45),Strategi!$K$5:$K$134,0))="","","("&amp;COUNTIFS('Pelan Pengambilan'!$B$6:$B$50,'Pelan Pengambilan'!$B50,'Pelan Pengambilan'!$C$6:$C$50,'Pelan Pengambilan'!$C50)&amp;") "&amp;INDEX(Strategi!$F$5:$F$134,MATCH(LARGE(Strategi!$K$5:$K$134,45),Strategi!$K$5:$K$134,0))),"")</f>
        <v/>
      </c>
      <c r="D94" s="155" t="s">
        <v>275</v>
      </c>
      <c r="E94" s="156" t="str">
        <f>IFERROR(IF(COUNT('Pelan Pengambilan'!H50,'Pelan Pengambilan'!J50,'Pelan Pengambilan'!L50,'Pelan Pengambilan'!N50,'Pelan Pengambilan'!P50,'Pelan Pengambilan'!R50,'Pelan Pengambilan'!T50,'Pelan Pengambilan'!V50,'Pelan Pengambilan'!X50,'Pelan Pengambilan'!Z50,'Pelan Pengambilan'!AB50,'Pelan Pengambilan'!AD50)=0,"",COUNT('Pelan Pengambilan'!I50,'Pelan Pengambilan'!K50,'Pelan Pengambilan'!M50,'Pelan Pengambilan'!O50,'Pelan Pengambilan'!Q50,'Pelan Pengambilan'!S50,'Pelan Pengambilan'!U50,'Pelan Pengambilan'!W50,'Pelan Pengambilan'!Y50,'Pelan Pengambilan'!AA50,'Pelan Pengambilan'!AC50,'Pelan Pengambilan'!AE50)/COUNT('Pelan Pengambilan'!H50,'Pelan Pengambilan'!J50,'Pelan Pengambilan'!L50,'Pelan Pengambilan'!N50,'Pelan Pengambilan'!P50,'Pelan Pengambilan'!R50,'Pelan Pengambilan'!T50,'Pelan Pengambilan'!V50,'Pelan Pengambilan'!X50,'Pelan Pengambilan'!Z50,'Pelan Pengambilan'!AB50,'Pelan Pengambilan'!AD50)),"")</f>
        <v/>
      </c>
      <c r="F94" s="157" t="str">
        <f>IFERROR(IF('Pelan Pengambilan'!G50="","",'Pelan Pengambilan'!G50),"")</f>
        <v/>
      </c>
      <c r="G94" s="158"/>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c r="CD94" s="158"/>
      <c r="CE94" s="158"/>
      <c r="CF94" s="158"/>
      <c r="CG94" s="158"/>
      <c r="CH94" s="158"/>
      <c r="CI94" s="158"/>
      <c r="CJ94" s="158"/>
      <c r="CK94" s="158"/>
      <c r="CL94" s="158"/>
      <c r="CM94" s="158"/>
      <c r="CN94" s="158"/>
      <c r="CO94" s="158"/>
      <c r="CP94" s="158"/>
      <c r="CQ94" s="158"/>
      <c r="CR94" s="158"/>
      <c r="CS94" s="158"/>
      <c r="CT94" s="158"/>
      <c r="CU94" s="158"/>
      <c r="CV94" s="158"/>
      <c r="CW94" s="158"/>
      <c r="CX94" s="158"/>
      <c r="CY94" s="158"/>
      <c r="CZ94" s="158"/>
      <c r="DA94" s="158"/>
      <c r="DB94" s="158"/>
      <c r="DC94" s="158"/>
      <c r="DD94" s="158"/>
      <c r="DE94" s="158"/>
      <c r="DF94" s="158"/>
      <c r="DG94" s="158"/>
      <c r="DH94" s="154" t="str">
        <f>'Pelan Pengambilan'!AF50</f>
        <v/>
      </c>
      <c r="DI94" s="154"/>
      <c r="DJ94" s="3">
        <f>IFERROR(MIN('Pelan Pengambilan'!H50,'Pelan Pengambilan'!J50,'Pelan Pengambilan'!L50,'Pelan Pengambilan'!N50,'Pelan Pengambilan'!P50,'Pelan Pengambilan'!R50,'Pelan Pengambilan'!T50,'Pelan Pengambilan'!V50,'Pelan Pengambilan'!X50,'Pelan Pengambilan'!Z50,'Pelan Pengambilan'!AB50,'Pelan Pengambilan'!AD50),"")</f>
        <v>0</v>
      </c>
      <c r="DK94" s="3">
        <f>IFERROR(MAX('Pelan Pengambilan'!H50,'Pelan Pengambilan'!J50,'Pelan Pengambilan'!L50,'Pelan Pengambilan'!N50,'Pelan Pengambilan'!P50,'Pelan Pengambilan'!R50,'Pelan Pengambilan'!T50,'Pelan Pengambilan'!V50,'Pelan Pengambilan'!X50,'Pelan Pengambilan'!Z50,'Pelan Pengambilan'!AB50,'Pelan Pengambilan'!AD50),"")</f>
        <v>0</v>
      </c>
      <c r="DL94" s="3">
        <f>IFERROR(MIN('Pelan Pengambilan'!I50,'Pelan Pengambilan'!K50,'Pelan Pengambilan'!M50,'Pelan Pengambilan'!O50,'Pelan Pengambilan'!Q50,'Pelan Pengambilan'!S50,'Pelan Pengambilan'!U50,'Pelan Pengambilan'!W50,'Pelan Pengambilan'!Y50,'Pelan Pengambilan'!AA50,'Pelan Pengambilan'!AC50,'Pelan Pengambilan'!AE50),"")</f>
        <v>0</v>
      </c>
      <c r="DM94" s="3">
        <f>IFERROR(MAX('Pelan Pengambilan'!I50,'Pelan Pengambilan'!K50,'Pelan Pengambilan'!M50,'Pelan Pengambilan'!O50,'Pelan Pengambilan'!Q50,'Pelan Pengambilan'!S50,'Pelan Pengambilan'!U50,'Pelan Pengambilan'!W50,'Pelan Pengambilan'!Y50,'Pelan Pengambilan'!AA50,'Pelan Pengambilan'!AC50,'Pelan Pengambilan'!AE50),"")</f>
        <v>0</v>
      </c>
    </row>
    <row r="95" ht="19.5" customHeight="1">
      <c r="A95" s="41"/>
      <c r="B95" s="41"/>
      <c r="C95" s="41"/>
      <c r="D95" s="155" t="s">
        <v>276</v>
      </c>
      <c r="E95" s="41"/>
      <c r="F95" s="41"/>
      <c r="G95" s="158"/>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c r="CS95" s="158"/>
      <c r="CT95" s="158"/>
      <c r="CU95" s="158"/>
      <c r="CV95" s="158"/>
      <c r="CW95" s="158"/>
      <c r="CX95" s="158"/>
      <c r="CY95" s="158"/>
      <c r="CZ95" s="158"/>
      <c r="DA95" s="158"/>
      <c r="DB95" s="158"/>
      <c r="DC95" s="158"/>
      <c r="DD95" s="158"/>
      <c r="DE95" s="158"/>
      <c r="DF95" s="158"/>
      <c r="DG95" s="158"/>
      <c r="DH95" s="41"/>
      <c r="DI95" s="41"/>
      <c r="DJ95" s="3"/>
      <c r="DK95" s="3"/>
      <c r="DL95" s="3"/>
      <c r="DM95" s="3"/>
    </row>
    <row r="96" ht="19.5" customHeight="1">
      <c r="A96" s="153" t="str">
        <f>'Pelan Pengambilan'!B51</f>
        <v/>
      </c>
      <c r="B96" s="154" t="str">
        <f>'Pelan Pengambilan'!C51</f>
        <v/>
      </c>
      <c r="C96" s="153" t="str">
        <f t="array" ref="C96">IFERROR(IF(INDEX(Strategi!$F$5:$F$134,MATCH(LARGE(Strategi!$K$5:$K$134,46),Strategi!$K$5:$K$134,0))="","","("&amp;COUNTIFS('Pelan Pengambilan'!$B$6:$B$51,'Pelan Pengambilan'!$B51,'Pelan Pengambilan'!$C$6:$C$51,'Pelan Pengambilan'!$C51)&amp;") "&amp;INDEX(Strategi!$F$5:$F$134,MATCH(LARGE(Strategi!$K$5:$K$134,46),Strategi!$K$5:$K$134,0))),"")</f>
        <v/>
      </c>
      <c r="D96" s="155" t="s">
        <v>275</v>
      </c>
      <c r="E96" s="156" t="str">
        <f>IFERROR(IF(COUNT('Pelan Pengambilan'!H51,'Pelan Pengambilan'!J51,'Pelan Pengambilan'!L51,'Pelan Pengambilan'!N51,'Pelan Pengambilan'!P51,'Pelan Pengambilan'!R51,'Pelan Pengambilan'!T51,'Pelan Pengambilan'!V51,'Pelan Pengambilan'!X51,'Pelan Pengambilan'!Z51,'Pelan Pengambilan'!AB51,'Pelan Pengambilan'!AD51)=0,"",COUNT('Pelan Pengambilan'!I51,'Pelan Pengambilan'!K51,'Pelan Pengambilan'!M51,'Pelan Pengambilan'!O51,'Pelan Pengambilan'!Q51,'Pelan Pengambilan'!S51,'Pelan Pengambilan'!U51,'Pelan Pengambilan'!W51,'Pelan Pengambilan'!Y51,'Pelan Pengambilan'!AA51,'Pelan Pengambilan'!AC51,'Pelan Pengambilan'!AE51)/COUNT('Pelan Pengambilan'!H51,'Pelan Pengambilan'!J51,'Pelan Pengambilan'!L51,'Pelan Pengambilan'!N51,'Pelan Pengambilan'!P51,'Pelan Pengambilan'!R51,'Pelan Pengambilan'!T51,'Pelan Pengambilan'!V51,'Pelan Pengambilan'!X51,'Pelan Pengambilan'!Z51,'Pelan Pengambilan'!AB51,'Pelan Pengambilan'!AD51)),"")</f>
        <v/>
      </c>
      <c r="F96" s="157" t="str">
        <f>IFERROR(IF('Pelan Pengambilan'!G51="","",'Pelan Pengambilan'!G51),"")</f>
        <v/>
      </c>
      <c r="G96" s="158"/>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c r="CD96" s="158"/>
      <c r="CE96" s="158"/>
      <c r="CF96" s="158"/>
      <c r="CG96" s="158"/>
      <c r="CH96" s="158"/>
      <c r="CI96" s="158"/>
      <c r="CJ96" s="158"/>
      <c r="CK96" s="158"/>
      <c r="CL96" s="158"/>
      <c r="CM96" s="158"/>
      <c r="CN96" s="158"/>
      <c r="CO96" s="158"/>
      <c r="CP96" s="158"/>
      <c r="CQ96" s="158"/>
      <c r="CR96" s="158"/>
      <c r="CS96" s="158"/>
      <c r="CT96" s="158"/>
      <c r="CU96" s="158"/>
      <c r="CV96" s="158"/>
      <c r="CW96" s="158"/>
      <c r="CX96" s="158"/>
      <c r="CY96" s="158"/>
      <c r="CZ96" s="158"/>
      <c r="DA96" s="158"/>
      <c r="DB96" s="158"/>
      <c r="DC96" s="158"/>
      <c r="DD96" s="158"/>
      <c r="DE96" s="158"/>
      <c r="DF96" s="158"/>
      <c r="DG96" s="158"/>
      <c r="DH96" s="154" t="str">
        <f>'Pelan Pengambilan'!AF51</f>
        <v/>
      </c>
      <c r="DI96" s="154"/>
      <c r="DJ96" s="3">
        <f>IFERROR(MIN('Pelan Pengambilan'!H51,'Pelan Pengambilan'!J51,'Pelan Pengambilan'!L51,'Pelan Pengambilan'!N51,'Pelan Pengambilan'!P51,'Pelan Pengambilan'!R51,'Pelan Pengambilan'!T51,'Pelan Pengambilan'!V51,'Pelan Pengambilan'!X51,'Pelan Pengambilan'!Z51,'Pelan Pengambilan'!AB51,'Pelan Pengambilan'!AD51),"")</f>
        <v>0</v>
      </c>
      <c r="DK96" s="3">
        <f>IFERROR(MAX('Pelan Pengambilan'!H51,'Pelan Pengambilan'!J51,'Pelan Pengambilan'!L51,'Pelan Pengambilan'!N51,'Pelan Pengambilan'!P51,'Pelan Pengambilan'!R51,'Pelan Pengambilan'!T51,'Pelan Pengambilan'!V51,'Pelan Pengambilan'!X51,'Pelan Pengambilan'!Z51,'Pelan Pengambilan'!AB51,'Pelan Pengambilan'!AD51),"")</f>
        <v>0</v>
      </c>
      <c r="DL96" s="3">
        <f>IFERROR(MIN('Pelan Pengambilan'!I51,'Pelan Pengambilan'!K51,'Pelan Pengambilan'!M51,'Pelan Pengambilan'!O51,'Pelan Pengambilan'!Q51,'Pelan Pengambilan'!S51,'Pelan Pengambilan'!U51,'Pelan Pengambilan'!W51,'Pelan Pengambilan'!Y51,'Pelan Pengambilan'!AA51,'Pelan Pengambilan'!AC51,'Pelan Pengambilan'!AE51),"")</f>
        <v>0</v>
      </c>
      <c r="DM96" s="3">
        <f>IFERROR(MAX('Pelan Pengambilan'!I51,'Pelan Pengambilan'!K51,'Pelan Pengambilan'!M51,'Pelan Pengambilan'!O51,'Pelan Pengambilan'!Q51,'Pelan Pengambilan'!S51,'Pelan Pengambilan'!U51,'Pelan Pengambilan'!W51,'Pelan Pengambilan'!Y51,'Pelan Pengambilan'!AA51,'Pelan Pengambilan'!AC51,'Pelan Pengambilan'!AE51),"")</f>
        <v>0</v>
      </c>
    </row>
    <row r="97" ht="19.5" customHeight="1">
      <c r="A97" s="41"/>
      <c r="B97" s="41"/>
      <c r="C97" s="41"/>
      <c r="D97" s="155" t="s">
        <v>276</v>
      </c>
      <c r="E97" s="41"/>
      <c r="F97" s="41"/>
      <c r="G97" s="158"/>
      <c r="H97" s="158"/>
      <c r="I97" s="158"/>
      <c r="J97" s="158"/>
      <c r="K97" s="158"/>
      <c r="L97" s="158"/>
      <c r="M97" s="158"/>
      <c r="N97" s="158"/>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c r="CS97" s="158"/>
      <c r="CT97" s="158"/>
      <c r="CU97" s="158"/>
      <c r="CV97" s="158"/>
      <c r="CW97" s="158"/>
      <c r="CX97" s="158"/>
      <c r="CY97" s="158"/>
      <c r="CZ97" s="158"/>
      <c r="DA97" s="158"/>
      <c r="DB97" s="158"/>
      <c r="DC97" s="158"/>
      <c r="DD97" s="158"/>
      <c r="DE97" s="158"/>
      <c r="DF97" s="158"/>
      <c r="DG97" s="158"/>
      <c r="DH97" s="41"/>
      <c r="DI97" s="41"/>
      <c r="DJ97" s="3"/>
      <c r="DK97" s="3"/>
      <c r="DL97" s="3"/>
      <c r="DM97" s="3"/>
    </row>
    <row r="98" ht="19.5" customHeight="1">
      <c r="A98" s="153" t="str">
        <f>'Pelan Pengambilan'!B52</f>
        <v/>
      </c>
      <c r="B98" s="154" t="str">
        <f>'Pelan Pengambilan'!C52</f>
        <v/>
      </c>
      <c r="C98" s="153" t="str">
        <f t="array" ref="C98">IFERROR(IF(INDEX(Strategi!$F$5:$F$134,MATCH(LARGE(Strategi!$K$5:$K$134,47),Strategi!$K$5:$K$134,0))="","","("&amp;COUNTIFS('Pelan Pengambilan'!$B$6:$B$52,'Pelan Pengambilan'!$B52,'Pelan Pengambilan'!$C$6:$C$52,'Pelan Pengambilan'!$C52)&amp;") "&amp;INDEX(Strategi!$F$5:$F$134,MATCH(LARGE(Strategi!$K$5:$K$134,47),Strategi!$K$5:$K$134,0))),"")</f>
        <v/>
      </c>
      <c r="D98" s="155" t="s">
        <v>275</v>
      </c>
      <c r="E98" s="156" t="str">
        <f>IFERROR(IF(COUNT('Pelan Pengambilan'!H52,'Pelan Pengambilan'!J52,'Pelan Pengambilan'!L52,'Pelan Pengambilan'!N52,'Pelan Pengambilan'!P52,'Pelan Pengambilan'!R52,'Pelan Pengambilan'!T52,'Pelan Pengambilan'!V52,'Pelan Pengambilan'!X52,'Pelan Pengambilan'!Z52,'Pelan Pengambilan'!AB52,'Pelan Pengambilan'!AD52)=0,"",COUNT('Pelan Pengambilan'!I52,'Pelan Pengambilan'!K52,'Pelan Pengambilan'!M52,'Pelan Pengambilan'!O52,'Pelan Pengambilan'!Q52,'Pelan Pengambilan'!S52,'Pelan Pengambilan'!U52,'Pelan Pengambilan'!W52,'Pelan Pengambilan'!Y52,'Pelan Pengambilan'!AA52,'Pelan Pengambilan'!AC52,'Pelan Pengambilan'!AE52)/COUNT('Pelan Pengambilan'!H52,'Pelan Pengambilan'!J52,'Pelan Pengambilan'!L52,'Pelan Pengambilan'!N52,'Pelan Pengambilan'!P52,'Pelan Pengambilan'!R52,'Pelan Pengambilan'!T52,'Pelan Pengambilan'!V52,'Pelan Pengambilan'!X52,'Pelan Pengambilan'!Z52,'Pelan Pengambilan'!AB52,'Pelan Pengambilan'!AD52)),"")</f>
        <v/>
      </c>
      <c r="F98" s="157" t="str">
        <f>IFERROR(IF('Pelan Pengambilan'!G52="","",'Pelan Pengambilan'!G52),"")</f>
        <v/>
      </c>
      <c r="G98" s="158"/>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c r="CR98" s="158"/>
      <c r="CS98" s="158"/>
      <c r="CT98" s="158"/>
      <c r="CU98" s="158"/>
      <c r="CV98" s="158"/>
      <c r="CW98" s="158"/>
      <c r="CX98" s="158"/>
      <c r="CY98" s="158"/>
      <c r="CZ98" s="158"/>
      <c r="DA98" s="158"/>
      <c r="DB98" s="158"/>
      <c r="DC98" s="158"/>
      <c r="DD98" s="158"/>
      <c r="DE98" s="158"/>
      <c r="DF98" s="158"/>
      <c r="DG98" s="158"/>
      <c r="DH98" s="154" t="str">
        <f>'Pelan Pengambilan'!AF52</f>
        <v/>
      </c>
      <c r="DI98" s="154"/>
      <c r="DJ98" s="3">
        <f>IFERROR(MIN('Pelan Pengambilan'!H52,'Pelan Pengambilan'!J52,'Pelan Pengambilan'!L52,'Pelan Pengambilan'!N52,'Pelan Pengambilan'!P52,'Pelan Pengambilan'!R52,'Pelan Pengambilan'!T52,'Pelan Pengambilan'!V52,'Pelan Pengambilan'!X52,'Pelan Pengambilan'!Z52,'Pelan Pengambilan'!AB52,'Pelan Pengambilan'!AD52),"")</f>
        <v>0</v>
      </c>
      <c r="DK98" s="3">
        <f>IFERROR(MAX('Pelan Pengambilan'!H52,'Pelan Pengambilan'!J52,'Pelan Pengambilan'!L52,'Pelan Pengambilan'!N52,'Pelan Pengambilan'!P52,'Pelan Pengambilan'!R52,'Pelan Pengambilan'!T52,'Pelan Pengambilan'!V52,'Pelan Pengambilan'!X52,'Pelan Pengambilan'!Z52,'Pelan Pengambilan'!AB52,'Pelan Pengambilan'!AD52),"")</f>
        <v>0</v>
      </c>
      <c r="DL98" s="3">
        <f>IFERROR(MIN('Pelan Pengambilan'!I52,'Pelan Pengambilan'!K52,'Pelan Pengambilan'!M52,'Pelan Pengambilan'!O52,'Pelan Pengambilan'!Q52,'Pelan Pengambilan'!S52,'Pelan Pengambilan'!U52,'Pelan Pengambilan'!W52,'Pelan Pengambilan'!Y52,'Pelan Pengambilan'!AA52,'Pelan Pengambilan'!AC52,'Pelan Pengambilan'!AE52),"")</f>
        <v>0</v>
      </c>
      <c r="DM98" s="3">
        <f>IFERROR(MAX('Pelan Pengambilan'!I52,'Pelan Pengambilan'!K52,'Pelan Pengambilan'!M52,'Pelan Pengambilan'!O52,'Pelan Pengambilan'!Q52,'Pelan Pengambilan'!S52,'Pelan Pengambilan'!U52,'Pelan Pengambilan'!W52,'Pelan Pengambilan'!Y52,'Pelan Pengambilan'!AA52,'Pelan Pengambilan'!AC52,'Pelan Pengambilan'!AE52),"")</f>
        <v>0</v>
      </c>
    </row>
    <row r="99" ht="19.5" customHeight="1">
      <c r="A99" s="41"/>
      <c r="B99" s="41"/>
      <c r="C99" s="41"/>
      <c r="D99" s="155" t="s">
        <v>276</v>
      </c>
      <c r="E99" s="41"/>
      <c r="F99" s="41"/>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c r="CR99" s="158"/>
      <c r="CS99" s="158"/>
      <c r="CT99" s="158"/>
      <c r="CU99" s="158"/>
      <c r="CV99" s="158"/>
      <c r="CW99" s="158"/>
      <c r="CX99" s="158"/>
      <c r="CY99" s="158"/>
      <c r="CZ99" s="158"/>
      <c r="DA99" s="158"/>
      <c r="DB99" s="158"/>
      <c r="DC99" s="158"/>
      <c r="DD99" s="158"/>
      <c r="DE99" s="158"/>
      <c r="DF99" s="158"/>
      <c r="DG99" s="158"/>
      <c r="DH99" s="41"/>
      <c r="DI99" s="41"/>
      <c r="DJ99" s="3"/>
      <c r="DK99" s="3"/>
      <c r="DL99" s="3"/>
      <c r="DM99" s="3"/>
    </row>
    <row r="100" ht="19.5" customHeight="1">
      <c r="A100" s="153" t="str">
        <f>'Pelan Pengambilan'!B53</f>
        <v/>
      </c>
      <c r="B100" s="154" t="str">
        <f>'Pelan Pengambilan'!C53</f>
        <v/>
      </c>
      <c r="C100" s="153" t="str">
        <f t="array" ref="C100">IFERROR(IF(INDEX(Strategi!$F$5:$F$134,MATCH(LARGE(Strategi!$K$5:$K$134,48),Strategi!$K$5:$K$134,0))="","","("&amp;COUNTIFS('Pelan Pengambilan'!$B$6:$B$53,'Pelan Pengambilan'!$B53,'Pelan Pengambilan'!$C$6:$C$53,'Pelan Pengambilan'!$C53)&amp;") "&amp;INDEX(Strategi!$F$5:$F$134,MATCH(LARGE(Strategi!$K$5:$K$134,48),Strategi!$K$5:$K$134,0))),"")</f>
        <v/>
      </c>
      <c r="D100" s="155" t="s">
        <v>275</v>
      </c>
      <c r="E100" s="156" t="str">
        <f>IFERROR(IF(COUNT('Pelan Pengambilan'!H53,'Pelan Pengambilan'!J53,'Pelan Pengambilan'!L53,'Pelan Pengambilan'!N53,'Pelan Pengambilan'!P53,'Pelan Pengambilan'!R53,'Pelan Pengambilan'!T53,'Pelan Pengambilan'!V53,'Pelan Pengambilan'!X53,'Pelan Pengambilan'!Z53,'Pelan Pengambilan'!AB53,'Pelan Pengambilan'!AD53)=0,"",COUNT('Pelan Pengambilan'!I53,'Pelan Pengambilan'!K53,'Pelan Pengambilan'!M53,'Pelan Pengambilan'!O53,'Pelan Pengambilan'!Q53,'Pelan Pengambilan'!S53,'Pelan Pengambilan'!U53,'Pelan Pengambilan'!W53,'Pelan Pengambilan'!Y53,'Pelan Pengambilan'!AA53,'Pelan Pengambilan'!AC53,'Pelan Pengambilan'!AE53)/COUNT('Pelan Pengambilan'!H53,'Pelan Pengambilan'!J53,'Pelan Pengambilan'!L53,'Pelan Pengambilan'!N53,'Pelan Pengambilan'!P53,'Pelan Pengambilan'!R53,'Pelan Pengambilan'!T53,'Pelan Pengambilan'!V53,'Pelan Pengambilan'!X53,'Pelan Pengambilan'!Z53,'Pelan Pengambilan'!AB53,'Pelan Pengambilan'!AD53)),"")</f>
        <v/>
      </c>
      <c r="F100" s="157" t="str">
        <f>IFERROR(IF('Pelan Pengambilan'!G53="","",'Pelan Pengambilan'!G53),"")</f>
        <v/>
      </c>
      <c r="G100" s="158"/>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c r="CR100" s="158"/>
      <c r="CS100" s="158"/>
      <c r="CT100" s="158"/>
      <c r="CU100" s="158"/>
      <c r="CV100" s="158"/>
      <c r="CW100" s="158"/>
      <c r="CX100" s="158"/>
      <c r="CY100" s="158"/>
      <c r="CZ100" s="158"/>
      <c r="DA100" s="158"/>
      <c r="DB100" s="158"/>
      <c r="DC100" s="158"/>
      <c r="DD100" s="158"/>
      <c r="DE100" s="158"/>
      <c r="DF100" s="158"/>
      <c r="DG100" s="158"/>
      <c r="DH100" s="154" t="str">
        <f>'Pelan Pengambilan'!AF53</f>
        <v/>
      </c>
      <c r="DI100" s="154"/>
      <c r="DJ100" s="3">
        <f>IFERROR(MIN('Pelan Pengambilan'!H53,'Pelan Pengambilan'!J53,'Pelan Pengambilan'!L53,'Pelan Pengambilan'!N53,'Pelan Pengambilan'!P53,'Pelan Pengambilan'!R53,'Pelan Pengambilan'!T53,'Pelan Pengambilan'!V53,'Pelan Pengambilan'!X53,'Pelan Pengambilan'!Z53,'Pelan Pengambilan'!AB53,'Pelan Pengambilan'!AD53),"")</f>
        <v>0</v>
      </c>
      <c r="DK100" s="3">
        <f>IFERROR(MAX('Pelan Pengambilan'!H53,'Pelan Pengambilan'!J53,'Pelan Pengambilan'!L53,'Pelan Pengambilan'!N53,'Pelan Pengambilan'!P53,'Pelan Pengambilan'!R53,'Pelan Pengambilan'!T53,'Pelan Pengambilan'!V53,'Pelan Pengambilan'!X53,'Pelan Pengambilan'!Z53,'Pelan Pengambilan'!AB53,'Pelan Pengambilan'!AD53),"")</f>
        <v>0</v>
      </c>
      <c r="DL100" s="3">
        <f>IFERROR(MIN('Pelan Pengambilan'!I53,'Pelan Pengambilan'!K53,'Pelan Pengambilan'!M53,'Pelan Pengambilan'!O53,'Pelan Pengambilan'!Q53,'Pelan Pengambilan'!S53,'Pelan Pengambilan'!U53,'Pelan Pengambilan'!W53,'Pelan Pengambilan'!Y53,'Pelan Pengambilan'!AA53,'Pelan Pengambilan'!AC53,'Pelan Pengambilan'!AE53),"")</f>
        <v>0</v>
      </c>
      <c r="DM100" s="3">
        <f>IFERROR(MAX('Pelan Pengambilan'!I53,'Pelan Pengambilan'!K53,'Pelan Pengambilan'!M53,'Pelan Pengambilan'!O53,'Pelan Pengambilan'!Q53,'Pelan Pengambilan'!S53,'Pelan Pengambilan'!U53,'Pelan Pengambilan'!W53,'Pelan Pengambilan'!Y53,'Pelan Pengambilan'!AA53,'Pelan Pengambilan'!AC53,'Pelan Pengambilan'!AE53),"")</f>
        <v>0</v>
      </c>
    </row>
    <row r="101" ht="19.5" customHeight="1">
      <c r="A101" s="41"/>
      <c r="B101" s="41"/>
      <c r="C101" s="41"/>
      <c r="D101" s="155" t="s">
        <v>276</v>
      </c>
      <c r="E101" s="41"/>
      <c r="F101" s="41"/>
      <c r="G101" s="158"/>
      <c r="H101" s="158"/>
      <c r="I101" s="158"/>
      <c r="J101" s="158"/>
      <c r="K101" s="158"/>
      <c r="L101" s="158"/>
      <c r="M101" s="158"/>
      <c r="N101" s="158"/>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41"/>
      <c r="DI101" s="41"/>
      <c r="DJ101" s="3"/>
      <c r="DK101" s="3"/>
      <c r="DL101" s="3"/>
      <c r="DM101" s="3"/>
    </row>
    <row r="102" ht="19.5" customHeight="1">
      <c r="A102" s="153" t="str">
        <f>'Pelan Pengambilan'!B54</f>
        <v/>
      </c>
      <c r="B102" s="154" t="str">
        <f>'Pelan Pengambilan'!C54</f>
        <v/>
      </c>
      <c r="C102" s="153" t="str">
        <f t="array" ref="C102">IFERROR(IF(INDEX(Strategi!$F$5:$F$134,MATCH(LARGE(Strategi!$K$5:$K$134,49),Strategi!$K$5:$K$134,0))="","","("&amp;COUNTIFS('Pelan Pengambilan'!$B$6:$B$54,'Pelan Pengambilan'!$B54,'Pelan Pengambilan'!$C$6:$C$54,'Pelan Pengambilan'!$C54)&amp;") "&amp;INDEX(Strategi!$F$5:$F$134,MATCH(LARGE(Strategi!$K$5:$K$134,49),Strategi!$K$5:$K$134,0))),"")</f>
        <v/>
      </c>
      <c r="D102" s="155" t="s">
        <v>275</v>
      </c>
      <c r="E102" s="156" t="str">
        <f>IFERROR(IF(COUNT('Pelan Pengambilan'!H54,'Pelan Pengambilan'!J54,'Pelan Pengambilan'!L54,'Pelan Pengambilan'!N54,'Pelan Pengambilan'!P54,'Pelan Pengambilan'!R54,'Pelan Pengambilan'!T54,'Pelan Pengambilan'!V54,'Pelan Pengambilan'!X54,'Pelan Pengambilan'!Z54,'Pelan Pengambilan'!AB54,'Pelan Pengambilan'!AD54)=0,"",COUNT('Pelan Pengambilan'!I54,'Pelan Pengambilan'!K54,'Pelan Pengambilan'!M54,'Pelan Pengambilan'!O54,'Pelan Pengambilan'!Q54,'Pelan Pengambilan'!S54,'Pelan Pengambilan'!U54,'Pelan Pengambilan'!W54,'Pelan Pengambilan'!Y54,'Pelan Pengambilan'!AA54,'Pelan Pengambilan'!AC54,'Pelan Pengambilan'!AE54)/COUNT('Pelan Pengambilan'!H54,'Pelan Pengambilan'!J54,'Pelan Pengambilan'!L54,'Pelan Pengambilan'!N54,'Pelan Pengambilan'!P54,'Pelan Pengambilan'!R54,'Pelan Pengambilan'!T54,'Pelan Pengambilan'!V54,'Pelan Pengambilan'!X54,'Pelan Pengambilan'!Z54,'Pelan Pengambilan'!AB54,'Pelan Pengambilan'!AD54)),"")</f>
        <v/>
      </c>
      <c r="F102" s="157" t="str">
        <f>IFERROR(IF('Pelan Pengambilan'!G54="","",'Pelan Pengambilan'!G54),"")</f>
        <v/>
      </c>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c r="CR102" s="158"/>
      <c r="CS102" s="158"/>
      <c r="CT102" s="158"/>
      <c r="CU102" s="158"/>
      <c r="CV102" s="158"/>
      <c r="CW102" s="158"/>
      <c r="CX102" s="158"/>
      <c r="CY102" s="158"/>
      <c r="CZ102" s="158"/>
      <c r="DA102" s="158"/>
      <c r="DB102" s="158"/>
      <c r="DC102" s="158"/>
      <c r="DD102" s="158"/>
      <c r="DE102" s="158"/>
      <c r="DF102" s="158"/>
      <c r="DG102" s="158"/>
      <c r="DH102" s="154" t="str">
        <f>'Pelan Pengambilan'!AF54</f>
        <v/>
      </c>
      <c r="DI102" s="154"/>
      <c r="DJ102" s="3">
        <f>IFERROR(MIN('Pelan Pengambilan'!H54,'Pelan Pengambilan'!J54,'Pelan Pengambilan'!L54,'Pelan Pengambilan'!N54,'Pelan Pengambilan'!P54,'Pelan Pengambilan'!R54,'Pelan Pengambilan'!T54,'Pelan Pengambilan'!V54,'Pelan Pengambilan'!X54,'Pelan Pengambilan'!Z54,'Pelan Pengambilan'!AB54,'Pelan Pengambilan'!AD54),"")</f>
        <v>0</v>
      </c>
      <c r="DK102" s="3">
        <f>IFERROR(MAX('Pelan Pengambilan'!H54,'Pelan Pengambilan'!J54,'Pelan Pengambilan'!L54,'Pelan Pengambilan'!N54,'Pelan Pengambilan'!P54,'Pelan Pengambilan'!R54,'Pelan Pengambilan'!T54,'Pelan Pengambilan'!V54,'Pelan Pengambilan'!X54,'Pelan Pengambilan'!Z54,'Pelan Pengambilan'!AB54,'Pelan Pengambilan'!AD54),"")</f>
        <v>0</v>
      </c>
      <c r="DL102" s="3">
        <f>IFERROR(MIN('Pelan Pengambilan'!I54,'Pelan Pengambilan'!K54,'Pelan Pengambilan'!M54,'Pelan Pengambilan'!O54,'Pelan Pengambilan'!Q54,'Pelan Pengambilan'!S54,'Pelan Pengambilan'!U54,'Pelan Pengambilan'!W54,'Pelan Pengambilan'!Y54,'Pelan Pengambilan'!AA54,'Pelan Pengambilan'!AC54,'Pelan Pengambilan'!AE54),"")</f>
        <v>0</v>
      </c>
      <c r="DM102" s="3">
        <f>IFERROR(MAX('Pelan Pengambilan'!I54,'Pelan Pengambilan'!K54,'Pelan Pengambilan'!M54,'Pelan Pengambilan'!O54,'Pelan Pengambilan'!Q54,'Pelan Pengambilan'!S54,'Pelan Pengambilan'!U54,'Pelan Pengambilan'!W54,'Pelan Pengambilan'!Y54,'Pelan Pengambilan'!AA54,'Pelan Pengambilan'!AC54,'Pelan Pengambilan'!AE54),"")</f>
        <v>0</v>
      </c>
    </row>
    <row r="103" ht="19.5" customHeight="1">
      <c r="A103" s="41"/>
      <c r="B103" s="41"/>
      <c r="C103" s="41"/>
      <c r="D103" s="155" t="s">
        <v>276</v>
      </c>
      <c r="E103" s="41"/>
      <c r="F103" s="41"/>
      <c r="G103" s="158"/>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c r="CD103" s="158"/>
      <c r="CE103" s="158"/>
      <c r="CF103" s="158"/>
      <c r="CG103" s="158"/>
      <c r="CH103" s="158"/>
      <c r="CI103" s="158"/>
      <c r="CJ103" s="158"/>
      <c r="CK103" s="158"/>
      <c r="CL103" s="158"/>
      <c r="CM103" s="158"/>
      <c r="CN103" s="158"/>
      <c r="CO103" s="158"/>
      <c r="CP103" s="158"/>
      <c r="CQ103" s="158"/>
      <c r="CR103" s="158"/>
      <c r="CS103" s="158"/>
      <c r="CT103" s="158"/>
      <c r="CU103" s="158"/>
      <c r="CV103" s="158"/>
      <c r="CW103" s="158"/>
      <c r="CX103" s="158"/>
      <c r="CY103" s="158"/>
      <c r="CZ103" s="158"/>
      <c r="DA103" s="158"/>
      <c r="DB103" s="158"/>
      <c r="DC103" s="158"/>
      <c r="DD103" s="158"/>
      <c r="DE103" s="158"/>
      <c r="DF103" s="158"/>
      <c r="DG103" s="158"/>
      <c r="DH103" s="41"/>
      <c r="DI103" s="41"/>
      <c r="DJ103" s="3"/>
      <c r="DK103" s="3"/>
      <c r="DL103" s="3"/>
      <c r="DM103" s="3"/>
    </row>
    <row r="104" ht="19.5" customHeight="1">
      <c r="A104" s="153" t="str">
        <f>'Pelan Pengambilan'!B55</f>
        <v/>
      </c>
      <c r="B104" s="154" t="str">
        <f>'Pelan Pengambilan'!C55</f>
        <v/>
      </c>
      <c r="C104" s="153" t="str">
        <f t="array" ref="C104">IFERROR(IF(INDEX(Strategi!$F$5:$F$134,MATCH(LARGE(Strategi!$K$5:$K$134,50),Strategi!$K$5:$K$134,0))="","","("&amp;COUNTIFS('Pelan Pengambilan'!$B$6:$B$55,'Pelan Pengambilan'!$B55,'Pelan Pengambilan'!$C$6:$C$55,'Pelan Pengambilan'!$C55)&amp;") "&amp;INDEX(Strategi!$F$5:$F$134,MATCH(LARGE(Strategi!$K$5:$K$134,50),Strategi!$K$5:$K$134,0))),"")</f>
        <v/>
      </c>
      <c r="D104" s="155" t="s">
        <v>275</v>
      </c>
      <c r="E104" s="156" t="str">
        <f>IFERROR(IF(COUNT('Pelan Pengambilan'!H55,'Pelan Pengambilan'!J55,'Pelan Pengambilan'!L55,'Pelan Pengambilan'!N55,'Pelan Pengambilan'!P55,'Pelan Pengambilan'!R55,'Pelan Pengambilan'!T55,'Pelan Pengambilan'!V55,'Pelan Pengambilan'!X55,'Pelan Pengambilan'!Z55,'Pelan Pengambilan'!AB55,'Pelan Pengambilan'!AD55)=0,"",COUNT('Pelan Pengambilan'!I55,'Pelan Pengambilan'!K55,'Pelan Pengambilan'!M55,'Pelan Pengambilan'!O55,'Pelan Pengambilan'!Q55,'Pelan Pengambilan'!S55,'Pelan Pengambilan'!U55,'Pelan Pengambilan'!W55,'Pelan Pengambilan'!Y55,'Pelan Pengambilan'!AA55,'Pelan Pengambilan'!AC55,'Pelan Pengambilan'!AE55)/COUNT('Pelan Pengambilan'!H55,'Pelan Pengambilan'!J55,'Pelan Pengambilan'!L55,'Pelan Pengambilan'!N55,'Pelan Pengambilan'!P55,'Pelan Pengambilan'!R55,'Pelan Pengambilan'!T55,'Pelan Pengambilan'!V55,'Pelan Pengambilan'!X55,'Pelan Pengambilan'!Z55,'Pelan Pengambilan'!AB55,'Pelan Pengambilan'!AD55)),"")</f>
        <v/>
      </c>
      <c r="F104" s="157" t="str">
        <f>IFERROR(IF('Pelan Pengambilan'!G55="","",'Pelan Pengambilan'!G55),"")</f>
        <v/>
      </c>
      <c r="G104" s="158"/>
      <c r="H104" s="158"/>
      <c r="I104" s="158"/>
      <c r="J104" s="158"/>
      <c r="K104" s="158"/>
      <c r="L104" s="158"/>
      <c r="M104" s="158"/>
      <c r="N104" s="158"/>
      <c r="O104" s="158"/>
      <c r="P104" s="158"/>
      <c r="Q104" s="158"/>
      <c r="R104" s="158"/>
      <c r="S104" s="158"/>
      <c r="T104" s="158"/>
      <c r="U104" s="158"/>
      <c r="V104" s="158"/>
      <c r="W104" s="158"/>
      <c r="X104" s="158"/>
      <c r="Y104" s="158"/>
      <c r="Z104" s="158"/>
      <c r="AA104" s="158"/>
      <c r="AB104" s="158"/>
      <c r="AC104" s="158"/>
      <c r="AD104" s="158"/>
      <c r="AE104" s="158"/>
      <c r="AF104" s="158"/>
      <c r="AG104" s="158"/>
      <c r="AH104" s="158"/>
      <c r="AI104" s="158"/>
      <c r="AJ104" s="158"/>
      <c r="AK104" s="158"/>
      <c r="AL104" s="158"/>
      <c r="AM104" s="158"/>
      <c r="AN104" s="158"/>
      <c r="AO104" s="158"/>
      <c r="AP104" s="158"/>
      <c r="AQ104" s="158"/>
      <c r="AR104" s="158"/>
      <c r="AS104" s="158"/>
      <c r="AT104" s="158"/>
      <c r="AU104" s="158"/>
      <c r="AV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c r="CD104" s="158"/>
      <c r="CE104" s="158"/>
      <c r="CF104" s="158"/>
      <c r="CG104" s="158"/>
      <c r="CH104" s="158"/>
      <c r="CI104" s="158"/>
      <c r="CJ104" s="158"/>
      <c r="CK104" s="158"/>
      <c r="CL104" s="158"/>
      <c r="CM104" s="158"/>
      <c r="CN104" s="158"/>
      <c r="CO104" s="158"/>
      <c r="CP104" s="158"/>
      <c r="CQ104" s="158"/>
      <c r="CR104" s="158"/>
      <c r="CS104" s="158"/>
      <c r="CT104" s="158"/>
      <c r="CU104" s="158"/>
      <c r="CV104" s="158"/>
      <c r="CW104" s="158"/>
      <c r="CX104" s="158"/>
      <c r="CY104" s="158"/>
      <c r="CZ104" s="158"/>
      <c r="DA104" s="158"/>
      <c r="DB104" s="158"/>
      <c r="DC104" s="158"/>
      <c r="DD104" s="158"/>
      <c r="DE104" s="158"/>
      <c r="DF104" s="158"/>
      <c r="DG104" s="158"/>
      <c r="DH104" s="154" t="str">
        <f>'Pelan Pengambilan'!AF55</f>
        <v/>
      </c>
      <c r="DI104" s="154"/>
      <c r="DJ104" s="3">
        <f>IFERROR(MIN('Pelan Pengambilan'!H55,'Pelan Pengambilan'!J55,'Pelan Pengambilan'!L55,'Pelan Pengambilan'!N55,'Pelan Pengambilan'!P55,'Pelan Pengambilan'!R55,'Pelan Pengambilan'!T55,'Pelan Pengambilan'!V55,'Pelan Pengambilan'!X55,'Pelan Pengambilan'!Z55,'Pelan Pengambilan'!AB55,'Pelan Pengambilan'!AD55),"")</f>
        <v>0</v>
      </c>
      <c r="DK104" s="3">
        <f>IFERROR(MAX('Pelan Pengambilan'!H55,'Pelan Pengambilan'!J55,'Pelan Pengambilan'!L55,'Pelan Pengambilan'!N55,'Pelan Pengambilan'!P55,'Pelan Pengambilan'!R55,'Pelan Pengambilan'!T55,'Pelan Pengambilan'!V55,'Pelan Pengambilan'!X55,'Pelan Pengambilan'!Z55,'Pelan Pengambilan'!AB55,'Pelan Pengambilan'!AD55),"")</f>
        <v>0</v>
      </c>
      <c r="DL104" s="3">
        <f>IFERROR(MIN('Pelan Pengambilan'!I55,'Pelan Pengambilan'!K55,'Pelan Pengambilan'!M55,'Pelan Pengambilan'!O55,'Pelan Pengambilan'!Q55,'Pelan Pengambilan'!S55,'Pelan Pengambilan'!U55,'Pelan Pengambilan'!W55,'Pelan Pengambilan'!Y55,'Pelan Pengambilan'!AA55,'Pelan Pengambilan'!AC55,'Pelan Pengambilan'!AE55),"")</f>
        <v>0</v>
      </c>
      <c r="DM104" s="3">
        <f>IFERROR(MAX('Pelan Pengambilan'!I55,'Pelan Pengambilan'!K55,'Pelan Pengambilan'!M55,'Pelan Pengambilan'!O55,'Pelan Pengambilan'!Q55,'Pelan Pengambilan'!S55,'Pelan Pengambilan'!U55,'Pelan Pengambilan'!W55,'Pelan Pengambilan'!Y55,'Pelan Pengambilan'!AA55,'Pelan Pengambilan'!AC55,'Pelan Pengambilan'!AE55),"")</f>
        <v>0</v>
      </c>
    </row>
    <row r="105" ht="19.5" customHeight="1">
      <c r="A105" s="41"/>
      <c r="B105" s="41"/>
      <c r="C105" s="41"/>
      <c r="D105" s="155" t="s">
        <v>276</v>
      </c>
      <c r="E105" s="41"/>
      <c r="F105" s="41"/>
      <c r="G105" s="158"/>
      <c r="H105" s="158"/>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c r="CS105" s="158"/>
      <c r="CT105" s="158"/>
      <c r="CU105" s="158"/>
      <c r="CV105" s="158"/>
      <c r="CW105" s="158"/>
      <c r="CX105" s="158"/>
      <c r="CY105" s="158"/>
      <c r="CZ105" s="158"/>
      <c r="DA105" s="158"/>
      <c r="DB105" s="158"/>
      <c r="DC105" s="158"/>
      <c r="DD105" s="158"/>
      <c r="DE105" s="158"/>
      <c r="DF105" s="158"/>
      <c r="DG105" s="158"/>
      <c r="DH105" s="41"/>
      <c r="DI105" s="41"/>
      <c r="DJ105" s="3"/>
      <c r="DK105" s="3"/>
      <c r="DL105" s="3"/>
      <c r="DM105" s="3"/>
    </row>
    <row r="106" ht="19.5" customHeight="1">
      <c r="A106" s="153" t="str">
        <f>'Pelan Pengambilan'!B56</f>
        <v/>
      </c>
      <c r="B106" s="154" t="str">
        <f>'Pelan Pengambilan'!C56</f>
        <v/>
      </c>
      <c r="C106" s="153" t="str">
        <f t="array" ref="C106">IFERROR(IF(INDEX(Strategi!$F$5:$F$134,MATCH(LARGE(Strategi!$K$5:$K$134,51),Strategi!$K$5:$K$134,0))="","","("&amp;COUNTIFS('Pelan Pengambilan'!$B$6:$B$56,'Pelan Pengambilan'!$B56,'Pelan Pengambilan'!$C$6:$C$56,'Pelan Pengambilan'!$C56)&amp;") "&amp;INDEX(Strategi!$F$5:$F$134,MATCH(LARGE(Strategi!$K$5:$K$134,51),Strategi!$K$5:$K$134,0))),"")</f>
        <v/>
      </c>
      <c r="D106" s="155" t="s">
        <v>275</v>
      </c>
      <c r="E106" s="156" t="str">
        <f>IFERROR(IF(COUNT('Pelan Pengambilan'!H56,'Pelan Pengambilan'!J56,'Pelan Pengambilan'!L56,'Pelan Pengambilan'!N56,'Pelan Pengambilan'!P56,'Pelan Pengambilan'!R56,'Pelan Pengambilan'!T56,'Pelan Pengambilan'!V56,'Pelan Pengambilan'!X56,'Pelan Pengambilan'!Z56,'Pelan Pengambilan'!AB56,'Pelan Pengambilan'!AD56)=0,"",COUNT('Pelan Pengambilan'!I56,'Pelan Pengambilan'!K56,'Pelan Pengambilan'!M56,'Pelan Pengambilan'!O56,'Pelan Pengambilan'!Q56,'Pelan Pengambilan'!S56,'Pelan Pengambilan'!U56,'Pelan Pengambilan'!W56,'Pelan Pengambilan'!Y56,'Pelan Pengambilan'!AA56,'Pelan Pengambilan'!AC56,'Pelan Pengambilan'!AE56)/COUNT('Pelan Pengambilan'!H56,'Pelan Pengambilan'!J56,'Pelan Pengambilan'!L56,'Pelan Pengambilan'!N56,'Pelan Pengambilan'!P56,'Pelan Pengambilan'!R56,'Pelan Pengambilan'!T56,'Pelan Pengambilan'!V56,'Pelan Pengambilan'!X56,'Pelan Pengambilan'!Z56,'Pelan Pengambilan'!AB56,'Pelan Pengambilan'!AD56)),"")</f>
        <v/>
      </c>
      <c r="F106" s="157" t="str">
        <f>IFERROR(IF('Pelan Pengambilan'!G56="","",'Pelan Pengambilan'!G56),"")</f>
        <v/>
      </c>
      <c r="G106" s="158"/>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c r="CD106" s="158"/>
      <c r="CE106" s="158"/>
      <c r="CF106" s="158"/>
      <c r="CG106" s="158"/>
      <c r="CH106" s="158"/>
      <c r="CI106" s="158"/>
      <c r="CJ106" s="158"/>
      <c r="CK106" s="158"/>
      <c r="CL106" s="158"/>
      <c r="CM106" s="158"/>
      <c r="CN106" s="158"/>
      <c r="CO106" s="158"/>
      <c r="CP106" s="158"/>
      <c r="CQ106" s="158"/>
      <c r="CR106" s="158"/>
      <c r="CS106" s="158"/>
      <c r="CT106" s="158"/>
      <c r="CU106" s="158"/>
      <c r="CV106" s="158"/>
      <c r="CW106" s="158"/>
      <c r="CX106" s="158"/>
      <c r="CY106" s="158"/>
      <c r="CZ106" s="158"/>
      <c r="DA106" s="158"/>
      <c r="DB106" s="158"/>
      <c r="DC106" s="158"/>
      <c r="DD106" s="158"/>
      <c r="DE106" s="158"/>
      <c r="DF106" s="158"/>
      <c r="DG106" s="158"/>
      <c r="DH106" s="154" t="str">
        <f>'Pelan Pengambilan'!AF56</f>
        <v/>
      </c>
      <c r="DI106" s="154"/>
      <c r="DJ106" s="3">
        <f>IFERROR(MIN('Pelan Pengambilan'!H56,'Pelan Pengambilan'!J56,'Pelan Pengambilan'!L56,'Pelan Pengambilan'!N56,'Pelan Pengambilan'!P56,'Pelan Pengambilan'!R56,'Pelan Pengambilan'!T56,'Pelan Pengambilan'!V56,'Pelan Pengambilan'!X56,'Pelan Pengambilan'!Z56,'Pelan Pengambilan'!AB56,'Pelan Pengambilan'!AD56),"")</f>
        <v>0</v>
      </c>
      <c r="DK106" s="3">
        <f>IFERROR(MAX('Pelan Pengambilan'!H56,'Pelan Pengambilan'!J56,'Pelan Pengambilan'!L56,'Pelan Pengambilan'!N56,'Pelan Pengambilan'!P56,'Pelan Pengambilan'!R56,'Pelan Pengambilan'!T56,'Pelan Pengambilan'!V56,'Pelan Pengambilan'!X56,'Pelan Pengambilan'!Z56,'Pelan Pengambilan'!AB56,'Pelan Pengambilan'!AD56),"")</f>
        <v>0</v>
      </c>
      <c r="DL106" s="3">
        <f>IFERROR(MIN('Pelan Pengambilan'!I56,'Pelan Pengambilan'!K56,'Pelan Pengambilan'!M56,'Pelan Pengambilan'!O56,'Pelan Pengambilan'!Q56,'Pelan Pengambilan'!S56,'Pelan Pengambilan'!U56,'Pelan Pengambilan'!W56,'Pelan Pengambilan'!Y56,'Pelan Pengambilan'!AA56,'Pelan Pengambilan'!AC56,'Pelan Pengambilan'!AE56),"")</f>
        <v>0</v>
      </c>
      <c r="DM106" s="3">
        <f>IFERROR(MAX('Pelan Pengambilan'!I56,'Pelan Pengambilan'!K56,'Pelan Pengambilan'!M56,'Pelan Pengambilan'!O56,'Pelan Pengambilan'!Q56,'Pelan Pengambilan'!S56,'Pelan Pengambilan'!U56,'Pelan Pengambilan'!W56,'Pelan Pengambilan'!Y56,'Pelan Pengambilan'!AA56,'Pelan Pengambilan'!AC56,'Pelan Pengambilan'!AE56),"")</f>
        <v>0</v>
      </c>
    </row>
    <row r="107" ht="19.5" customHeight="1">
      <c r="A107" s="41"/>
      <c r="B107" s="41"/>
      <c r="C107" s="41"/>
      <c r="D107" s="155" t="s">
        <v>276</v>
      </c>
      <c r="E107" s="41"/>
      <c r="F107" s="41"/>
      <c r="G107" s="158"/>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c r="CD107" s="158"/>
      <c r="CE107" s="158"/>
      <c r="CF107" s="158"/>
      <c r="CG107" s="158"/>
      <c r="CH107" s="158"/>
      <c r="CI107" s="158"/>
      <c r="CJ107" s="158"/>
      <c r="CK107" s="158"/>
      <c r="CL107" s="158"/>
      <c r="CM107" s="158"/>
      <c r="CN107" s="158"/>
      <c r="CO107" s="158"/>
      <c r="CP107" s="158"/>
      <c r="CQ107" s="158"/>
      <c r="CR107" s="158"/>
      <c r="CS107" s="158"/>
      <c r="CT107" s="158"/>
      <c r="CU107" s="158"/>
      <c r="CV107" s="158"/>
      <c r="CW107" s="158"/>
      <c r="CX107" s="158"/>
      <c r="CY107" s="158"/>
      <c r="CZ107" s="158"/>
      <c r="DA107" s="158"/>
      <c r="DB107" s="158"/>
      <c r="DC107" s="158"/>
      <c r="DD107" s="158"/>
      <c r="DE107" s="158"/>
      <c r="DF107" s="158"/>
      <c r="DG107" s="158"/>
      <c r="DH107" s="41"/>
      <c r="DI107" s="41"/>
      <c r="DJ107" s="3"/>
      <c r="DK107" s="3"/>
      <c r="DL107" s="3"/>
      <c r="DM107" s="3"/>
    </row>
    <row r="108" ht="19.5" customHeight="1">
      <c r="A108" s="153" t="str">
        <f>'Pelan Pengambilan'!B57</f>
        <v/>
      </c>
      <c r="B108" s="154" t="str">
        <f>'Pelan Pengambilan'!C57</f>
        <v/>
      </c>
      <c r="C108" s="153" t="str">
        <f t="array" ref="C108">IFERROR(IF(INDEX(Strategi!$F$5:$F$134,MATCH(LARGE(Strategi!$K$5:$K$134,52),Strategi!$K$5:$K$134,0))="","","("&amp;COUNTIFS('Pelan Pengambilan'!$B$6:$B$57,'Pelan Pengambilan'!$B57,'Pelan Pengambilan'!$C$6:$C$57,'Pelan Pengambilan'!$C57)&amp;") "&amp;INDEX(Strategi!$F$5:$F$134,MATCH(LARGE(Strategi!$K$5:$K$134,52),Strategi!$K$5:$K$134,0))),"")</f>
        <v/>
      </c>
      <c r="D108" s="155" t="s">
        <v>275</v>
      </c>
      <c r="E108" s="156" t="str">
        <f>IFERROR(IF(COUNT('Pelan Pengambilan'!H57,'Pelan Pengambilan'!J57,'Pelan Pengambilan'!L57,'Pelan Pengambilan'!N57,'Pelan Pengambilan'!P57,'Pelan Pengambilan'!R57,'Pelan Pengambilan'!T57,'Pelan Pengambilan'!V57,'Pelan Pengambilan'!X57,'Pelan Pengambilan'!Z57,'Pelan Pengambilan'!AB57,'Pelan Pengambilan'!AD57)=0,"",COUNT('Pelan Pengambilan'!I57,'Pelan Pengambilan'!K57,'Pelan Pengambilan'!M57,'Pelan Pengambilan'!O57,'Pelan Pengambilan'!Q57,'Pelan Pengambilan'!S57,'Pelan Pengambilan'!U57,'Pelan Pengambilan'!W57,'Pelan Pengambilan'!Y57,'Pelan Pengambilan'!AA57,'Pelan Pengambilan'!AC57,'Pelan Pengambilan'!AE57)/COUNT('Pelan Pengambilan'!H57,'Pelan Pengambilan'!J57,'Pelan Pengambilan'!L57,'Pelan Pengambilan'!N57,'Pelan Pengambilan'!P57,'Pelan Pengambilan'!R57,'Pelan Pengambilan'!T57,'Pelan Pengambilan'!V57,'Pelan Pengambilan'!X57,'Pelan Pengambilan'!Z57,'Pelan Pengambilan'!AB57,'Pelan Pengambilan'!AD57)),"")</f>
        <v/>
      </c>
      <c r="F108" s="157" t="str">
        <f>IFERROR(IF('Pelan Pengambilan'!G57="","",'Pelan Pengambilan'!G57),"")</f>
        <v/>
      </c>
      <c r="G108" s="158"/>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c r="CD108" s="158"/>
      <c r="CE108" s="158"/>
      <c r="CF108" s="158"/>
      <c r="CG108" s="158"/>
      <c r="CH108" s="158"/>
      <c r="CI108" s="158"/>
      <c r="CJ108" s="158"/>
      <c r="CK108" s="158"/>
      <c r="CL108" s="158"/>
      <c r="CM108" s="158"/>
      <c r="CN108" s="158"/>
      <c r="CO108" s="158"/>
      <c r="CP108" s="158"/>
      <c r="CQ108" s="158"/>
      <c r="CR108" s="158"/>
      <c r="CS108" s="158"/>
      <c r="CT108" s="158"/>
      <c r="CU108" s="158"/>
      <c r="CV108" s="158"/>
      <c r="CW108" s="158"/>
      <c r="CX108" s="158"/>
      <c r="CY108" s="158"/>
      <c r="CZ108" s="158"/>
      <c r="DA108" s="158"/>
      <c r="DB108" s="158"/>
      <c r="DC108" s="158"/>
      <c r="DD108" s="158"/>
      <c r="DE108" s="158"/>
      <c r="DF108" s="158"/>
      <c r="DG108" s="158"/>
      <c r="DH108" s="154" t="str">
        <f>'Pelan Pengambilan'!AF57</f>
        <v/>
      </c>
      <c r="DI108" s="154"/>
      <c r="DJ108" s="3">
        <f>IFERROR(MIN('Pelan Pengambilan'!H57,'Pelan Pengambilan'!J57,'Pelan Pengambilan'!L57,'Pelan Pengambilan'!N57,'Pelan Pengambilan'!P57,'Pelan Pengambilan'!R57,'Pelan Pengambilan'!T57,'Pelan Pengambilan'!V57,'Pelan Pengambilan'!X57,'Pelan Pengambilan'!Z57,'Pelan Pengambilan'!AB57,'Pelan Pengambilan'!AD57),"")</f>
        <v>0</v>
      </c>
      <c r="DK108" s="3">
        <f>IFERROR(MAX('Pelan Pengambilan'!H57,'Pelan Pengambilan'!J57,'Pelan Pengambilan'!L57,'Pelan Pengambilan'!N57,'Pelan Pengambilan'!P57,'Pelan Pengambilan'!R57,'Pelan Pengambilan'!T57,'Pelan Pengambilan'!V57,'Pelan Pengambilan'!X57,'Pelan Pengambilan'!Z57,'Pelan Pengambilan'!AB57,'Pelan Pengambilan'!AD57),"")</f>
        <v>0</v>
      </c>
      <c r="DL108" s="3">
        <f>IFERROR(MIN('Pelan Pengambilan'!I57,'Pelan Pengambilan'!K57,'Pelan Pengambilan'!M57,'Pelan Pengambilan'!O57,'Pelan Pengambilan'!Q57,'Pelan Pengambilan'!S57,'Pelan Pengambilan'!U57,'Pelan Pengambilan'!W57,'Pelan Pengambilan'!Y57,'Pelan Pengambilan'!AA57,'Pelan Pengambilan'!AC57,'Pelan Pengambilan'!AE57),"")</f>
        <v>0</v>
      </c>
      <c r="DM108" s="3">
        <f>IFERROR(MAX('Pelan Pengambilan'!I57,'Pelan Pengambilan'!K57,'Pelan Pengambilan'!M57,'Pelan Pengambilan'!O57,'Pelan Pengambilan'!Q57,'Pelan Pengambilan'!S57,'Pelan Pengambilan'!U57,'Pelan Pengambilan'!W57,'Pelan Pengambilan'!Y57,'Pelan Pengambilan'!AA57,'Pelan Pengambilan'!AC57,'Pelan Pengambilan'!AE57),"")</f>
        <v>0</v>
      </c>
    </row>
    <row r="109" ht="19.5" customHeight="1">
      <c r="A109" s="41"/>
      <c r="B109" s="41"/>
      <c r="C109" s="41"/>
      <c r="D109" s="155" t="s">
        <v>276</v>
      </c>
      <c r="E109" s="41"/>
      <c r="F109" s="41"/>
      <c r="G109" s="158"/>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c r="CS109" s="158"/>
      <c r="CT109" s="158"/>
      <c r="CU109" s="158"/>
      <c r="CV109" s="158"/>
      <c r="CW109" s="158"/>
      <c r="CX109" s="158"/>
      <c r="CY109" s="158"/>
      <c r="CZ109" s="158"/>
      <c r="DA109" s="158"/>
      <c r="DB109" s="158"/>
      <c r="DC109" s="158"/>
      <c r="DD109" s="158"/>
      <c r="DE109" s="158"/>
      <c r="DF109" s="158"/>
      <c r="DG109" s="158"/>
      <c r="DH109" s="41"/>
      <c r="DI109" s="41"/>
      <c r="DJ109" s="3"/>
      <c r="DK109" s="3"/>
      <c r="DL109" s="3"/>
      <c r="DM109" s="3"/>
    </row>
    <row r="110" ht="19.5" customHeight="1">
      <c r="A110" s="153" t="str">
        <f>'Pelan Pengambilan'!B58</f>
        <v/>
      </c>
      <c r="B110" s="154" t="str">
        <f>'Pelan Pengambilan'!C58</f>
        <v/>
      </c>
      <c r="C110" s="153" t="str">
        <f t="array" ref="C110">IFERROR(IF(INDEX(Strategi!$F$5:$F$134,MATCH(LARGE(Strategi!$K$5:$K$134,53),Strategi!$K$5:$K$134,0))="","","("&amp;COUNTIFS('Pelan Pengambilan'!$B$6:$B$58,'Pelan Pengambilan'!$B58,'Pelan Pengambilan'!$C$6:$C$58,'Pelan Pengambilan'!$C58)&amp;") "&amp;INDEX(Strategi!$F$5:$F$134,MATCH(LARGE(Strategi!$K$5:$K$134,53),Strategi!$K$5:$K$134,0))),"")</f>
        <v/>
      </c>
      <c r="D110" s="155" t="s">
        <v>275</v>
      </c>
      <c r="E110" s="156" t="str">
        <f>IFERROR(IF(COUNT('Pelan Pengambilan'!H58,'Pelan Pengambilan'!J58,'Pelan Pengambilan'!L58,'Pelan Pengambilan'!N58,'Pelan Pengambilan'!P58,'Pelan Pengambilan'!R58,'Pelan Pengambilan'!T58,'Pelan Pengambilan'!V58,'Pelan Pengambilan'!X58,'Pelan Pengambilan'!Z58,'Pelan Pengambilan'!AB58,'Pelan Pengambilan'!AD58)=0,"",COUNT('Pelan Pengambilan'!I58,'Pelan Pengambilan'!K58,'Pelan Pengambilan'!M58,'Pelan Pengambilan'!O58,'Pelan Pengambilan'!Q58,'Pelan Pengambilan'!S58,'Pelan Pengambilan'!U58,'Pelan Pengambilan'!W58,'Pelan Pengambilan'!Y58,'Pelan Pengambilan'!AA58,'Pelan Pengambilan'!AC58,'Pelan Pengambilan'!AE58)/COUNT('Pelan Pengambilan'!H58,'Pelan Pengambilan'!J58,'Pelan Pengambilan'!L58,'Pelan Pengambilan'!N58,'Pelan Pengambilan'!P58,'Pelan Pengambilan'!R58,'Pelan Pengambilan'!T58,'Pelan Pengambilan'!V58,'Pelan Pengambilan'!X58,'Pelan Pengambilan'!Z58,'Pelan Pengambilan'!AB58,'Pelan Pengambilan'!AD58)),"")</f>
        <v/>
      </c>
      <c r="F110" s="157" t="str">
        <f>IFERROR(IF('Pelan Pengambilan'!G58="","",'Pelan Pengambilan'!G58),"")</f>
        <v/>
      </c>
      <c r="G110" s="158"/>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c r="CS110" s="158"/>
      <c r="CT110" s="158"/>
      <c r="CU110" s="158"/>
      <c r="CV110" s="158"/>
      <c r="CW110" s="158"/>
      <c r="CX110" s="158"/>
      <c r="CY110" s="158"/>
      <c r="CZ110" s="158"/>
      <c r="DA110" s="158"/>
      <c r="DB110" s="158"/>
      <c r="DC110" s="158"/>
      <c r="DD110" s="158"/>
      <c r="DE110" s="158"/>
      <c r="DF110" s="158"/>
      <c r="DG110" s="158"/>
      <c r="DH110" s="154" t="str">
        <f>'Pelan Pengambilan'!AF58</f>
        <v/>
      </c>
      <c r="DI110" s="154"/>
      <c r="DJ110" s="3">
        <f>IFERROR(MIN('Pelan Pengambilan'!H58,'Pelan Pengambilan'!J58,'Pelan Pengambilan'!L58,'Pelan Pengambilan'!N58,'Pelan Pengambilan'!P58,'Pelan Pengambilan'!R58,'Pelan Pengambilan'!T58,'Pelan Pengambilan'!V58,'Pelan Pengambilan'!X58,'Pelan Pengambilan'!Z58,'Pelan Pengambilan'!AB58,'Pelan Pengambilan'!AD58),"")</f>
        <v>0</v>
      </c>
      <c r="DK110" s="3">
        <f>IFERROR(MAX('Pelan Pengambilan'!H58,'Pelan Pengambilan'!J58,'Pelan Pengambilan'!L58,'Pelan Pengambilan'!N58,'Pelan Pengambilan'!P58,'Pelan Pengambilan'!R58,'Pelan Pengambilan'!T58,'Pelan Pengambilan'!V58,'Pelan Pengambilan'!X58,'Pelan Pengambilan'!Z58,'Pelan Pengambilan'!AB58,'Pelan Pengambilan'!AD58),"")</f>
        <v>0</v>
      </c>
      <c r="DL110" s="3">
        <f>IFERROR(MIN('Pelan Pengambilan'!I58,'Pelan Pengambilan'!K58,'Pelan Pengambilan'!M58,'Pelan Pengambilan'!O58,'Pelan Pengambilan'!Q58,'Pelan Pengambilan'!S58,'Pelan Pengambilan'!U58,'Pelan Pengambilan'!W58,'Pelan Pengambilan'!Y58,'Pelan Pengambilan'!AA58,'Pelan Pengambilan'!AC58,'Pelan Pengambilan'!AE58),"")</f>
        <v>0</v>
      </c>
      <c r="DM110" s="3">
        <f>IFERROR(MAX('Pelan Pengambilan'!I58,'Pelan Pengambilan'!K58,'Pelan Pengambilan'!M58,'Pelan Pengambilan'!O58,'Pelan Pengambilan'!Q58,'Pelan Pengambilan'!S58,'Pelan Pengambilan'!U58,'Pelan Pengambilan'!W58,'Pelan Pengambilan'!Y58,'Pelan Pengambilan'!AA58,'Pelan Pengambilan'!AC58,'Pelan Pengambilan'!AE58),"")</f>
        <v>0</v>
      </c>
    </row>
    <row r="111" ht="19.5" customHeight="1">
      <c r="A111" s="41"/>
      <c r="B111" s="41"/>
      <c r="C111" s="41"/>
      <c r="D111" s="155" t="s">
        <v>276</v>
      </c>
      <c r="E111" s="41"/>
      <c r="F111" s="41"/>
      <c r="G111" s="158"/>
      <c r="H111" s="158"/>
      <c r="I111" s="158"/>
      <c r="J111" s="158"/>
      <c r="K111" s="158"/>
      <c r="L111" s="158"/>
      <c r="M111" s="158"/>
      <c r="N111" s="158"/>
      <c r="O111" s="158"/>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c r="CS111" s="158"/>
      <c r="CT111" s="158"/>
      <c r="CU111" s="158"/>
      <c r="CV111" s="158"/>
      <c r="CW111" s="158"/>
      <c r="CX111" s="158"/>
      <c r="CY111" s="158"/>
      <c r="CZ111" s="158"/>
      <c r="DA111" s="158"/>
      <c r="DB111" s="158"/>
      <c r="DC111" s="158"/>
      <c r="DD111" s="158"/>
      <c r="DE111" s="158"/>
      <c r="DF111" s="158"/>
      <c r="DG111" s="158"/>
      <c r="DH111" s="41"/>
      <c r="DI111" s="41"/>
      <c r="DJ111" s="3"/>
      <c r="DK111" s="3"/>
      <c r="DL111" s="3"/>
      <c r="DM111" s="3"/>
    </row>
    <row r="112" ht="19.5" customHeight="1">
      <c r="A112" s="153" t="str">
        <f>'Pelan Pengambilan'!B59</f>
        <v/>
      </c>
      <c r="B112" s="154" t="str">
        <f>'Pelan Pengambilan'!C59</f>
        <v/>
      </c>
      <c r="C112" s="153" t="str">
        <f t="array" ref="C112">IFERROR(IF(INDEX(Strategi!$F$5:$F$134,MATCH(LARGE(Strategi!$K$5:$K$134,54),Strategi!$K$5:$K$134,0))="","","("&amp;COUNTIFS('Pelan Pengambilan'!$B$6:$B$59,'Pelan Pengambilan'!$B59,'Pelan Pengambilan'!$C$6:$C$59,'Pelan Pengambilan'!$C59)&amp;") "&amp;INDEX(Strategi!$F$5:$F$134,MATCH(LARGE(Strategi!$K$5:$K$134,54),Strategi!$K$5:$K$134,0))),"")</f>
        <v/>
      </c>
      <c r="D112" s="155" t="s">
        <v>275</v>
      </c>
      <c r="E112" s="156" t="str">
        <f>IFERROR(IF(COUNT('Pelan Pengambilan'!H59,'Pelan Pengambilan'!J59,'Pelan Pengambilan'!L59,'Pelan Pengambilan'!N59,'Pelan Pengambilan'!P59,'Pelan Pengambilan'!R59,'Pelan Pengambilan'!T59,'Pelan Pengambilan'!V59,'Pelan Pengambilan'!X59,'Pelan Pengambilan'!Z59,'Pelan Pengambilan'!AB59,'Pelan Pengambilan'!AD59)=0,"",COUNT('Pelan Pengambilan'!I59,'Pelan Pengambilan'!K59,'Pelan Pengambilan'!M59,'Pelan Pengambilan'!O59,'Pelan Pengambilan'!Q59,'Pelan Pengambilan'!S59,'Pelan Pengambilan'!U59,'Pelan Pengambilan'!W59,'Pelan Pengambilan'!Y59,'Pelan Pengambilan'!AA59,'Pelan Pengambilan'!AC59,'Pelan Pengambilan'!AE59)/COUNT('Pelan Pengambilan'!H59,'Pelan Pengambilan'!J59,'Pelan Pengambilan'!L59,'Pelan Pengambilan'!N59,'Pelan Pengambilan'!P59,'Pelan Pengambilan'!R59,'Pelan Pengambilan'!T59,'Pelan Pengambilan'!V59,'Pelan Pengambilan'!X59,'Pelan Pengambilan'!Z59,'Pelan Pengambilan'!AB59,'Pelan Pengambilan'!AD59)),"")</f>
        <v/>
      </c>
      <c r="F112" s="157" t="str">
        <f>IFERROR(IF('Pelan Pengambilan'!G59="","",'Pelan Pengambilan'!G59),"")</f>
        <v/>
      </c>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c r="CR112" s="158"/>
      <c r="CS112" s="158"/>
      <c r="CT112" s="158"/>
      <c r="CU112" s="158"/>
      <c r="CV112" s="158"/>
      <c r="CW112" s="158"/>
      <c r="CX112" s="158"/>
      <c r="CY112" s="158"/>
      <c r="CZ112" s="158"/>
      <c r="DA112" s="158"/>
      <c r="DB112" s="158"/>
      <c r="DC112" s="158"/>
      <c r="DD112" s="158"/>
      <c r="DE112" s="158"/>
      <c r="DF112" s="158"/>
      <c r="DG112" s="158"/>
      <c r="DH112" s="154" t="str">
        <f>'Pelan Pengambilan'!AF59</f>
        <v/>
      </c>
      <c r="DI112" s="154"/>
      <c r="DJ112" s="3">
        <f>IFERROR(MIN('Pelan Pengambilan'!H59,'Pelan Pengambilan'!J59,'Pelan Pengambilan'!L59,'Pelan Pengambilan'!N59,'Pelan Pengambilan'!P59,'Pelan Pengambilan'!R59,'Pelan Pengambilan'!T59,'Pelan Pengambilan'!V59,'Pelan Pengambilan'!X59,'Pelan Pengambilan'!Z59,'Pelan Pengambilan'!AB59,'Pelan Pengambilan'!AD59),"")</f>
        <v>0</v>
      </c>
      <c r="DK112" s="3">
        <f>IFERROR(MAX('Pelan Pengambilan'!H59,'Pelan Pengambilan'!J59,'Pelan Pengambilan'!L59,'Pelan Pengambilan'!N59,'Pelan Pengambilan'!P59,'Pelan Pengambilan'!R59,'Pelan Pengambilan'!T59,'Pelan Pengambilan'!V59,'Pelan Pengambilan'!X59,'Pelan Pengambilan'!Z59,'Pelan Pengambilan'!AB59,'Pelan Pengambilan'!AD59),"")</f>
        <v>0</v>
      </c>
      <c r="DL112" s="3">
        <f>IFERROR(MIN('Pelan Pengambilan'!I59,'Pelan Pengambilan'!K59,'Pelan Pengambilan'!M59,'Pelan Pengambilan'!O59,'Pelan Pengambilan'!Q59,'Pelan Pengambilan'!S59,'Pelan Pengambilan'!U59,'Pelan Pengambilan'!W59,'Pelan Pengambilan'!Y59,'Pelan Pengambilan'!AA59,'Pelan Pengambilan'!AC59,'Pelan Pengambilan'!AE59),"")</f>
        <v>0</v>
      </c>
      <c r="DM112" s="3">
        <f>IFERROR(MAX('Pelan Pengambilan'!I59,'Pelan Pengambilan'!K59,'Pelan Pengambilan'!M59,'Pelan Pengambilan'!O59,'Pelan Pengambilan'!Q59,'Pelan Pengambilan'!S59,'Pelan Pengambilan'!U59,'Pelan Pengambilan'!W59,'Pelan Pengambilan'!Y59,'Pelan Pengambilan'!AA59,'Pelan Pengambilan'!AC59,'Pelan Pengambilan'!AE59),"")</f>
        <v>0</v>
      </c>
    </row>
    <row r="113" ht="19.5" customHeight="1">
      <c r="A113" s="41"/>
      <c r="B113" s="41"/>
      <c r="C113" s="41"/>
      <c r="D113" s="155" t="s">
        <v>276</v>
      </c>
      <c r="E113" s="41"/>
      <c r="F113" s="41"/>
      <c r="G113" s="158"/>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c r="CD113" s="158"/>
      <c r="CE113" s="158"/>
      <c r="CF113" s="158"/>
      <c r="CG113" s="158"/>
      <c r="CH113" s="158"/>
      <c r="CI113" s="158"/>
      <c r="CJ113" s="158"/>
      <c r="CK113" s="158"/>
      <c r="CL113" s="158"/>
      <c r="CM113" s="158"/>
      <c r="CN113" s="158"/>
      <c r="CO113" s="158"/>
      <c r="CP113" s="158"/>
      <c r="CQ113" s="158"/>
      <c r="CR113" s="158"/>
      <c r="CS113" s="158"/>
      <c r="CT113" s="158"/>
      <c r="CU113" s="158"/>
      <c r="CV113" s="158"/>
      <c r="CW113" s="158"/>
      <c r="CX113" s="158"/>
      <c r="CY113" s="158"/>
      <c r="CZ113" s="158"/>
      <c r="DA113" s="158"/>
      <c r="DB113" s="158"/>
      <c r="DC113" s="158"/>
      <c r="DD113" s="158"/>
      <c r="DE113" s="158"/>
      <c r="DF113" s="158"/>
      <c r="DG113" s="158"/>
      <c r="DH113" s="41"/>
      <c r="DI113" s="41"/>
      <c r="DJ113" s="3"/>
      <c r="DK113" s="3"/>
      <c r="DL113" s="3"/>
      <c r="DM113" s="3"/>
    </row>
    <row r="114" ht="19.5" customHeight="1">
      <c r="A114" s="153" t="str">
        <f>'Pelan Pengambilan'!B60</f>
        <v/>
      </c>
      <c r="B114" s="154" t="str">
        <f>'Pelan Pengambilan'!C60</f>
        <v/>
      </c>
      <c r="C114" s="153" t="str">
        <f t="array" ref="C114">IFERROR(IF(INDEX(Strategi!$F$5:$F$134,MATCH(LARGE(Strategi!$K$5:$K$134,55),Strategi!$K$5:$K$134,0))="","","("&amp;COUNTIFS('Pelan Pengambilan'!$B$6:$B$60,'Pelan Pengambilan'!$B60,'Pelan Pengambilan'!$C$6:$C$60,'Pelan Pengambilan'!$C60)&amp;") "&amp;INDEX(Strategi!$F$5:$F$134,MATCH(LARGE(Strategi!$K$5:$K$134,55),Strategi!$K$5:$K$134,0))),"")</f>
        <v/>
      </c>
      <c r="D114" s="155" t="s">
        <v>275</v>
      </c>
      <c r="E114" s="156" t="str">
        <f>IFERROR(IF(COUNT('Pelan Pengambilan'!H60,'Pelan Pengambilan'!J60,'Pelan Pengambilan'!L60,'Pelan Pengambilan'!N60,'Pelan Pengambilan'!P60,'Pelan Pengambilan'!R60,'Pelan Pengambilan'!T60,'Pelan Pengambilan'!V60,'Pelan Pengambilan'!X60,'Pelan Pengambilan'!Z60,'Pelan Pengambilan'!AB60,'Pelan Pengambilan'!AD60)=0,"",COUNT('Pelan Pengambilan'!I60,'Pelan Pengambilan'!K60,'Pelan Pengambilan'!M60,'Pelan Pengambilan'!O60,'Pelan Pengambilan'!Q60,'Pelan Pengambilan'!S60,'Pelan Pengambilan'!U60,'Pelan Pengambilan'!W60,'Pelan Pengambilan'!Y60,'Pelan Pengambilan'!AA60,'Pelan Pengambilan'!AC60,'Pelan Pengambilan'!AE60)/COUNT('Pelan Pengambilan'!H60,'Pelan Pengambilan'!J60,'Pelan Pengambilan'!L60,'Pelan Pengambilan'!N60,'Pelan Pengambilan'!P60,'Pelan Pengambilan'!R60,'Pelan Pengambilan'!T60,'Pelan Pengambilan'!V60,'Pelan Pengambilan'!X60,'Pelan Pengambilan'!Z60,'Pelan Pengambilan'!AB60,'Pelan Pengambilan'!AD60)),"")</f>
        <v/>
      </c>
      <c r="F114" s="157" t="str">
        <f>IFERROR(IF('Pelan Pengambilan'!G60="","",'Pelan Pengambilan'!G60),"")</f>
        <v/>
      </c>
      <c r="G114" s="158"/>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c r="CR114" s="158"/>
      <c r="CS114" s="158"/>
      <c r="CT114" s="158"/>
      <c r="CU114" s="158"/>
      <c r="CV114" s="158"/>
      <c r="CW114" s="158"/>
      <c r="CX114" s="158"/>
      <c r="CY114" s="158"/>
      <c r="CZ114" s="158"/>
      <c r="DA114" s="158"/>
      <c r="DB114" s="158"/>
      <c r="DC114" s="158"/>
      <c r="DD114" s="158"/>
      <c r="DE114" s="158"/>
      <c r="DF114" s="158"/>
      <c r="DG114" s="158"/>
      <c r="DH114" s="154" t="str">
        <f>'Pelan Pengambilan'!AF60</f>
        <v/>
      </c>
      <c r="DI114" s="154"/>
      <c r="DJ114" s="3">
        <f>IFERROR(MIN('Pelan Pengambilan'!H60,'Pelan Pengambilan'!J60,'Pelan Pengambilan'!L60,'Pelan Pengambilan'!N60,'Pelan Pengambilan'!P60,'Pelan Pengambilan'!R60,'Pelan Pengambilan'!T60,'Pelan Pengambilan'!V60,'Pelan Pengambilan'!X60,'Pelan Pengambilan'!Z60,'Pelan Pengambilan'!AB60,'Pelan Pengambilan'!AD60),"")</f>
        <v>0</v>
      </c>
      <c r="DK114" s="3">
        <f>IFERROR(MAX('Pelan Pengambilan'!H60,'Pelan Pengambilan'!J60,'Pelan Pengambilan'!L60,'Pelan Pengambilan'!N60,'Pelan Pengambilan'!P60,'Pelan Pengambilan'!R60,'Pelan Pengambilan'!T60,'Pelan Pengambilan'!V60,'Pelan Pengambilan'!X60,'Pelan Pengambilan'!Z60,'Pelan Pengambilan'!AB60,'Pelan Pengambilan'!AD60),"")</f>
        <v>0</v>
      </c>
      <c r="DL114" s="3">
        <f>IFERROR(MIN('Pelan Pengambilan'!I60,'Pelan Pengambilan'!K60,'Pelan Pengambilan'!M60,'Pelan Pengambilan'!O60,'Pelan Pengambilan'!Q60,'Pelan Pengambilan'!S60,'Pelan Pengambilan'!U60,'Pelan Pengambilan'!W60,'Pelan Pengambilan'!Y60,'Pelan Pengambilan'!AA60,'Pelan Pengambilan'!AC60,'Pelan Pengambilan'!AE60),"")</f>
        <v>0</v>
      </c>
      <c r="DM114" s="3">
        <f>IFERROR(MAX('Pelan Pengambilan'!I60,'Pelan Pengambilan'!K60,'Pelan Pengambilan'!M60,'Pelan Pengambilan'!O60,'Pelan Pengambilan'!Q60,'Pelan Pengambilan'!S60,'Pelan Pengambilan'!U60,'Pelan Pengambilan'!W60,'Pelan Pengambilan'!Y60,'Pelan Pengambilan'!AA60,'Pelan Pengambilan'!AC60,'Pelan Pengambilan'!AE60),"")</f>
        <v>0</v>
      </c>
    </row>
    <row r="115" ht="19.5" customHeight="1">
      <c r="A115" s="41"/>
      <c r="B115" s="41"/>
      <c r="C115" s="41"/>
      <c r="D115" s="155" t="s">
        <v>276</v>
      </c>
      <c r="E115" s="41"/>
      <c r="F115" s="41"/>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158"/>
      <c r="CS115" s="158"/>
      <c r="CT115" s="158"/>
      <c r="CU115" s="158"/>
      <c r="CV115" s="158"/>
      <c r="CW115" s="158"/>
      <c r="CX115" s="158"/>
      <c r="CY115" s="158"/>
      <c r="CZ115" s="158"/>
      <c r="DA115" s="158"/>
      <c r="DB115" s="158"/>
      <c r="DC115" s="158"/>
      <c r="DD115" s="158"/>
      <c r="DE115" s="158"/>
      <c r="DF115" s="158"/>
      <c r="DG115" s="158"/>
      <c r="DH115" s="41"/>
      <c r="DI115" s="41"/>
      <c r="DJ115" s="3"/>
      <c r="DK115" s="3"/>
      <c r="DL115" s="3"/>
      <c r="DM115" s="3"/>
    </row>
    <row r="116" ht="19.5" customHeight="1">
      <c r="A116" s="153" t="str">
        <f>'Pelan Pengambilan'!B61</f>
        <v/>
      </c>
      <c r="B116" s="154" t="str">
        <f>'Pelan Pengambilan'!C61</f>
        <v/>
      </c>
      <c r="C116" s="153" t="str">
        <f t="array" ref="C116">IFERROR(IF(INDEX(Strategi!$F$5:$F$134,MATCH(LARGE(Strategi!$K$5:$K$134,56),Strategi!$K$5:$K$134,0))="","","("&amp;COUNTIFS('Pelan Pengambilan'!$B$6:$B$61,'Pelan Pengambilan'!$B61,'Pelan Pengambilan'!$C$6:$C$61,'Pelan Pengambilan'!$C61)&amp;") "&amp;INDEX(Strategi!$F$5:$F$134,MATCH(LARGE(Strategi!$K$5:$K$134,56),Strategi!$K$5:$K$134,0))),"")</f>
        <v/>
      </c>
      <c r="D116" s="155" t="s">
        <v>275</v>
      </c>
      <c r="E116" s="156" t="str">
        <f>IFERROR(IF(COUNT('Pelan Pengambilan'!H61,'Pelan Pengambilan'!J61,'Pelan Pengambilan'!L61,'Pelan Pengambilan'!N61,'Pelan Pengambilan'!P61,'Pelan Pengambilan'!R61,'Pelan Pengambilan'!T61,'Pelan Pengambilan'!V61,'Pelan Pengambilan'!X61,'Pelan Pengambilan'!Z61,'Pelan Pengambilan'!AB61,'Pelan Pengambilan'!AD61)=0,"",COUNT('Pelan Pengambilan'!I61,'Pelan Pengambilan'!K61,'Pelan Pengambilan'!M61,'Pelan Pengambilan'!O61,'Pelan Pengambilan'!Q61,'Pelan Pengambilan'!S61,'Pelan Pengambilan'!U61,'Pelan Pengambilan'!W61,'Pelan Pengambilan'!Y61,'Pelan Pengambilan'!AA61,'Pelan Pengambilan'!AC61,'Pelan Pengambilan'!AE61)/COUNT('Pelan Pengambilan'!H61,'Pelan Pengambilan'!J61,'Pelan Pengambilan'!L61,'Pelan Pengambilan'!N61,'Pelan Pengambilan'!P61,'Pelan Pengambilan'!R61,'Pelan Pengambilan'!T61,'Pelan Pengambilan'!V61,'Pelan Pengambilan'!X61,'Pelan Pengambilan'!Z61,'Pelan Pengambilan'!AB61,'Pelan Pengambilan'!AD61)),"")</f>
        <v/>
      </c>
      <c r="F116" s="157" t="str">
        <f>IFERROR(IF('Pelan Pengambilan'!G61="","",'Pelan Pengambilan'!G61),"")</f>
        <v/>
      </c>
      <c r="G116" s="158"/>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c r="CR116" s="158"/>
      <c r="CS116" s="158"/>
      <c r="CT116" s="158"/>
      <c r="CU116" s="158"/>
      <c r="CV116" s="158"/>
      <c r="CW116" s="158"/>
      <c r="CX116" s="158"/>
      <c r="CY116" s="158"/>
      <c r="CZ116" s="158"/>
      <c r="DA116" s="158"/>
      <c r="DB116" s="158"/>
      <c r="DC116" s="158"/>
      <c r="DD116" s="158"/>
      <c r="DE116" s="158"/>
      <c r="DF116" s="158"/>
      <c r="DG116" s="158"/>
      <c r="DH116" s="154" t="str">
        <f>'Pelan Pengambilan'!AF61</f>
        <v/>
      </c>
      <c r="DI116" s="154"/>
      <c r="DJ116" s="3">
        <f>IFERROR(MIN('Pelan Pengambilan'!H61,'Pelan Pengambilan'!J61,'Pelan Pengambilan'!L61,'Pelan Pengambilan'!N61,'Pelan Pengambilan'!P61,'Pelan Pengambilan'!R61,'Pelan Pengambilan'!T61,'Pelan Pengambilan'!V61,'Pelan Pengambilan'!X61,'Pelan Pengambilan'!Z61,'Pelan Pengambilan'!AB61,'Pelan Pengambilan'!AD61),"")</f>
        <v>0</v>
      </c>
      <c r="DK116" s="3">
        <f>IFERROR(MAX('Pelan Pengambilan'!H61,'Pelan Pengambilan'!J61,'Pelan Pengambilan'!L61,'Pelan Pengambilan'!N61,'Pelan Pengambilan'!P61,'Pelan Pengambilan'!R61,'Pelan Pengambilan'!T61,'Pelan Pengambilan'!V61,'Pelan Pengambilan'!X61,'Pelan Pengambilan'!Z61,'Pelan Pengambilan'!AB61,'Pelan Pengambilan'!AD61),"")</f>
        <v>0</v>
      </c>
      <c r="DL116" s="3">
        <f>IFERROR(MIN('Pelan Pengambilan'!I61,'Pelan Pengambilan'!K61,'Pelan Pengambilan'!M61,'Pelan Pengambilan'!O61,'Pelan Pengambilan'!Q61,'Pelan Pengambilan'!S61,'Pelan Pengambilan'!U61,'Pelan Pengambilan'!W61,'Pelan Pengambilan'!Y61,'Pelan Pengambilan'!AA61,'Pelan Pengambilan'!AC61,'Pelan Pengambilan'!AE61),"")</f>
        <v>0</v>
      </c>
      <c r="DM116" s="3">
        <f>IFERROR(MAX('Pelan Pengambilan'!I61,'Pelan Pengambilan'!K61,'Pelan Pengambilan'!M61,'Pelan Pengambilan'!O61,'Pelan Pengambilan'!Q61,'Pelan Pengambilan'!S61,'Pelan Pengambilan'!U61,'Pelan Pengambilan'!W61,'Pelan Pengambilan'!Y61,'Pelan Pengambilan'!AA61,'Pelan Pengambilan'!AC61,'Pelan Pengambilan'!AE61),"")</f>
        <v>0</v>
      </c>
    </row>
    <row r="117" ht="19.5" customHeight="1">
      <c r="A117" s="41"/>
      <c r="B117" s="41"/>
      <c r="C117" s="41"/>
      <c r="D117" s="155" t="s">
        <v>276</v>
      </c>
      <c r="E117" s="41"/>
      <c r="F117" s="41"/>
      <c r="G117" s="158"/>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c r="CD117" s="158"/>
      <c r="CE117" s="158"/>
      <c r="CF117" s="158"/>
      <c r="CG117" s="158"/>
      <c r="CH117" s="158"/>
      <c r="CI117" s="158"/>
      <c r="CJ117" s="158"/>
      <c r="CK117" s="158"/>
      <c r="CL117" s="158"/>
      <c r="CM117" s="158"/>
      <c r="CN117" s="158"/>
      <c r="CO117" s="158"/>
      <c r="CP117" s="158"/>
      <c r="CQ117" s="158"/>
      <c r="CR117" s="158"/>
      <c r="CS117" s="158"/>
      <c r="CT117" s="158"/>
      <c r="CU117" s="158"/>
      <c r="CV117" s="158"/>
      <c r="CW117" s="158"/>
      <c r="CX117" s="158"/>
      <c r="CY117" s="158"/>
      <c r="CZ117" s="158"/>
      <c r="DA117" s="158"/>
      <c r="DB117" s="158"/>
      <c r="DC117" s="158"/>
      <c r="DD117" s="158"/>
      <c r="DE117" s="158"/>
      <c r="DF117" s="158"/>
      <c r="DG117" s="158"/>
      <c r="DH117" s="41"/>
      <c r="DI117" s="41"/>
      <c r="DJ117" s="3"/>
      <c r="DK117" s="3"/>
      <c r="DL117" s="3"/>
      <c r="DM117" s="3"/>
    </row>
    <row r="118" ht="19.5" customHeight="1">
      <c r="A118" s="153" t="str">
        <f>'Pelan Pengambilan'!B62</f>
        <v/>
      </c>
      <c r="B118" s="154" t="str">
        <f>'Pelan Pengambilan'!C62</f>
        <v/>
      </c>
      <c r="C118" s="153" t="str">
        <f t="array" ref="C118">IFERROR(IF(INDEX(Strategi!$F$5:$F$134,MATCH(LARGE(Strategi!$K$5:$K$134,57),Strategi!$K$5:$K$134,0))="","","("&amp;COUNTIFS('Pelan Pengambilan'!$B$6:$B$62,'Pelan Pengambilan'!$B62,'Pelan Pengambilan'!$C$6:$C$62,'Pelan Pengambilan'!$C62)&amp;") "&amp;INDEX(Strategi!$F$5:$F$134,MATCH(LARGE(Strategi!$K$5:$K$134,57),Strategi!$K$5:$K$134,0))),"")</f>
        <v/>
      </c>
      <c r="D118" s="155" t="s">
        <v>275</v>
      </c>
      <c r="E118" s="156" t="str">
        <f>IFERROR(IF(COUNT('Pelan Pengambilan'!H62,'Pelan Pengambilan'!J62,'Pelan Pengambilan'!L62,'Pelan Pengambilan'!N62,'Pelan Pengambilan'!P62,'Pelan Pengambilan'!R62,'Pelan Pengambilan'!T62,'Pelan Pengambilan'!V62,'Pelan Pengambilan'!X62,'Pelan Pengambilan'!Z62,'Pelan Pengambilan'!AB62,'Pelan Pengambilan'!AD62)=0,"",COUNT('Pelan Pengambilan'!I62,'Pelan Pengambilan'!K62,'Pelan Pengambilan'!M62,'Pelan Pengambilan'!O62,'Pelan Pengambilan'!Q62,'Pelan Pengambilan'!S62,'Pelan Pengambilan'!U62,'Pelan Pengambilan'!W62,'Pelan Pengambilan'!Y62,'Pelan Pengambilan'!AA62,'Pelan Pengambilan'!AC62,'Pelan Pengambilan'!AE62)/COUNT('Pelan Pengambilan'!H62,'Pelan Pengambilan'!J62,'Pelan Pengambilan'!L62,'Pelan Pengambilan'!N62,'Pelan Pengambilan'!P62,'Pelan Pengambilan'!R62,'Pelan Pengambilan'!T62,'Pelan Pengambilan'!V62,'Pelan Pengambilan'!X62,'Pelan Pengambilan'!Z62,'Pelan Pengambilan'!AB62,'Pelan Pengambilan'!AD62)),"")</f>
        <v/>
      </c>
      <c r="F118" s="157" t="str">
        <f>IFERROR(IF('Pelan Pengambilan'!G62="","",'Pelan Pengambilan'!G62),"")</f>
        <v/>
      </c>
      <c r="G118" s="158"/>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c r="CR118" s="158"/>
      <c r="CS118" s="158"/>
      <c r="CT118" s="158"/>
      <c r="CU118" s="158"/>
      <c r="CV118" s="158"/>
      <c r="CW118" s="158"/>
      <c r="CX118" s="158"/>
      <c r="CY118" s="158"/>
      <c r="CZ118" s="158"/>
      <c r="DA118" s="158"/>
      <c r="DB118" s="158"/>
      <c r="DC118" s="158"/>
      <c r="DD118" s="158"/>
      <c r="DE118" s="158"/>
      <c r="DF118" s="158"/>
      <c r="DG118" s="158"/>
      <c r="DH118" s="154" t="str">
        <f>'Pelan Pengambilan'!AF62</f>
        <v/>
      </c>
      <c r="DI118" s="154"/>
      <c r="DJ118" s="3">
        <f>IFERROR(MIN('Pelan Pengambilan'!H62,'Pelan Pengambilan'!J62,'Pelan Pengambilan'!L62,'Pelan Pengambilan'!N62,'Pelan Pengambilan'!P62,'Pelan Pengambilan'!R62,'Pelan Pengambilan'!T62,'Pelan Pengambilan'!V62,'Pelan Pengambilan'!X62,'Pelan Pengambilan'!Z62,'Pelan Pengambilan'!AB62,'Pelan Pengambilan'!AD62),"")</f>
        <v>0</v>
      </c>
      <c r="DK118" s="3">
        <f>IFERROR(MAX('Pelan Pengambilan'!H62,'Pelan Pengambilan'!J62,'Pelan Pengambilan'!L62,'Pelan Pengambilan'!N62,'Pelan Pengambilan'!P62,'Pelan Pengambilan'!R62,'Pelan Pengambilan'!T62,'Pelan Pengambilan'!V62,'Pelan Pengambilan'!X62,'Pelan Pengambilan'!Z62,'Pelan Pengambilan'!AB62,'Pelan Pengambilan'!AD62),"")</f>
        <v>0</v>
      </c>
      <c r="DL118" s="3">
        <f>IFERROR(MIN('Pelan Pengambilan'!I62,'Pelan Pengambilan'!K62,'Pelan Pengambilan'!M62,'Pelan Pengambilan'!O62,'Pelan Pengambilan'!Q62,'Pelan Pengambilan'!S62,'Pelan Pengambilan'!U62,'Pelan Pengambilan'!W62,'Pelan Pengambilan'!Y62,'Pelan Pengambilan'!AA62,'Pelan Pengambilan'!AC62,'Pelan Pengambilan'!AE62),"")</f>
        <v>0</v>
      </c>
      <c r="DM118" s="3">
        <f>IFERROR(MAX('Pelan Pengambilan'!I62,'Pelan Pengambilan'!K62,'Pelan Pengambilan'!M62,'Pelan Pengambilan'!O62,'Pelan Pengambilan'!Q62,'Pelan Pengambilan'!S62,'Pelan Pengambilan'!U62,'Pelan Pengambilan'!W62,'Pelan Pengambilan'!Y62,'Pelan Pengambilan'!AA62,'Pelan Pengambilan'!AC62,'Pelan Pengambilan'!AE62),"")</f>
        <v>0</v>
      </c>
    </row>
    <row r="119" ht="19.5" customHeight="1">
      <c r="A119" s="41"/>
      <c r="B119" s="41"/>
      <c r="C119" s="41"/>
      <c r="D119" s="155" t="s">
        <v>276</v>
      </c>
      <c r="E119" s="41"/>
      <c r="F119" s="41"/>
      <c r="G119" s="158"/>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c r="CR119" s="158"/>
      <c r="CS119" s="158"/>
      <c r="CT119" s="158"/>
      <c r="CU119" s="158"/>
      <c r="CV119" s="158"/>
      <c r="CW119" s="158"/>
      <c r="CX119" s="158"/>
      <c r="CY119" s="158"/>
      <c r="CZ119" s="158"/>
      <c r="DA119" s="158"/>
      <c r="DB119" s="158"/>
      <c r="DC119" s="158"/>
      <c r="DD119" s="158"/>
      <c r="DE119" s="158"/>
      <c r="DF119" s="158"/>
      <c r="DG119" s="158"/>
      <c r="DH119" s="41"/>
      <c r="DI119" s="41"/>
      <c r="DJ119" s="3"/>
      <c r="DK119" s="3"/>
      <c r="DL119" s="3"/>
      <c r="DM119" s="3"/>
    </row>
    <row r="120" ht="19.5" customHeight="1">
      <c r="A120" s="153" t="str">
        <f>'Pelan Pengambilan'!B63</f>
        <v/>
      </c>
      <c r="B120" s="154" t="str">
        <f>'Pelan Pengambilan'!C63</f>
        <v/>
      </c>
      <c r="C120" s="153" t="str">
        <f t="array" ref="C120">IFERROR(IF(INDEX(Strategi!$F$5:$F$134,MATCH(LARGE(Strategi!$K$5:$K$134,58),Strategi!$K$5:$K$134,0))="","","("&amp;COUNTIFS('Pelan Pengambilan'!$B$6:$B$63,'Pelan Pengambilan'!$B63,'Pelan Pengambilan'!$C$6:$C$63,'Pelan Pengambilan'!$C63)&amp;") "&amp;INDEX(Strategi!$F$5:$F$134,MATCH(LARGE(Strategi!$K$5:$K$134,58),Strategi!$K$5:$K$134,0))),"")</f>
        <v/>
      </c>
      <c r="D120" s="155" t="s">
        <v>275</v>
      </c>
      <c r="E120" s="156" t="str">
        <f>IFERROR(IF(COUNT('Pelan Pengambilan'!H63,'Pelan Pengambilan'!J63,'Pelan Pengambilan'!L63,'Pelan Pengambilan'!N63,'Pelan Pengambilan'!P63,'Pelan Pengambilan'!R63,'Pelan Pengambilan'!T63,'Pelan Pengambilan'!V63,'Pelan Pengambilan'!X63,'Pelan Pengambilan'!Z63,'Pelan Pengambilan'!AB63,'Pelan Pengambilan'!AD63)=0,"",COUNT('Pelan Pengambilan'!I63,'Pelan Pengambilan'!K63,'Pelan Pengambilan'!M63,'Pelan Pengambilan'!O63,'Pelan Pengambilan'!Q63,'Pelan Pengambilan'!S63,'Pelan Pengambilan'!U63,'Pelan Pengambilan'!W63,'Pelan Pengambilan'!Y63,'Pelan Pengambilan'!AA63,'Pelan Pengambilan'!AC63,'Pelan Pengambilan'!AE63)/COUNT('Pelan Pengambilan'!H63,'Pelan Pengambilan'!J63,'Pelan Pengambilan'!L63,'Pelan Pengambilan'!N63,'Pelan Pengambilan'!P63,'Pelan Pengambilan'!R63,'Pelan Pengambilan'!T63,'Pelan Pengambilan'!V63,'Pelan Pengambilan'!X63,'Pelan Pengambilan'!Z63,'Pelan Pengambilan'!AB63,'Pelan Pengambilan'!AD63)),"")</f>
        <v/>
      </c>
      <c r="F120" s="157" t="str">
        <f>IFERROR(IF('Pelan Pengambilan'!G63="","",'Pelan Pengambilan'!G63),"")</f>
        <v/>
      </c>
      <c r="G120" s="158"/>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c r="CR120" s="158"/>
      <c r="CS120" s="158"/>
      <c r="CT120" s="158"/>
      <c r="CU120" s="158"/>
      <c r="CV120" s="158"/>
      <c r="CW120" s="158"/>
      <c r="CX120" s="158"/>
      <c r="CY120" s="158"/>
      <c r="CZ120" s="158"/>
      <c r="DA120" s="158"/>
      <c r="DB120" s="158"/>
      <c r="DC120" s="158"/>
      <c r="DD120" s="158"/>
      <c r="DE120" s="158"/>
      <c r="DF120" s="158"/>
      <c r="DG120" s="158"/>
      <c r="DH120" s="154" t="str">
        <f>'Pelan Pengambilan'!AF63</f>
        <v/>
      </c>
      <c r="DI120" s="154"/>
      <c r="DJ120" s="3">
        <f>IFERROR(MIN('Pelan Pengambilan'!H63,'Pelan Pengambilan'!J63,'Pelan Pengambilan'!L63,'Pelan Pengambilan'!N63,'Pelan Pengambilan'!P63,'Pelan Pengambilan'!R63,'Pelan Pengambilan'!T63,'Pelan Pengambilan'!V63,'Pelan Pengambilan'!X63,'Pelan Pengambilan'!Z63,'Pelan Pengambilan'!AB63,'Pelan Pengambilan'!AD63),"")</f>
        <v>0</v>
      </c>
      <c r="DK120" s="3">
        <f>IFERROR(MAX('Pelan Pengambilan'!H63,'Pelan Pengambilan'!J63,'Pelan Pengambilan'!L63,'Pelan Pengambilan'!N63,'Pelan Pengambilan'!P63,'Pelan Pengambilan'!R63,'Pelan Pengambilan'!T63,'Pelan Pengambilan'!V63,'Pelan Pengambilan'!X63,'Pelan Pengambilan'!Z63,'Pelan Pengambilan'!AB63,'Pelan Pengambilan'!AD63),"")</f>
        <v>0</v>
      </c>
      <c r="DL120" s="3">
        <f>IFERROR(MIN('Pelan Pengambilan'!I63,'Pelan Pengambilan'!K63,'Pelan Pengambilan'!M63,'Pelan Pengambilan'!O63,'Pelan Pengambilan'!Q63,'Pelan Pengambilan'!S63,'Pelan Pengambilan'!U63,'Pelan Pengambilan'!W63,'Pelan Pengambilan'!Y63,'Pelan Pengambilan'!AA63,'Pelan Pengambilan'!AC63,'Pelan Pengambilan'!AE63),"")</f>
        <v>0</v>
      </c>
      <c r="DM120" s="3">
        <f>IFERROR(MAX('Pelan Pengambilan'!I63,'Pelan Pengambilan'!K63,'Pelan Pengambilan'!M63,'Pelan Pengambilan'!O63,'Pelan Pengambilan'!Q63,'Pelan Pengambilan'!S63,'Pelan Pengambilan'!U63,'Pelan Pengambilan'!W63,'Pelan Pengambilan'!Y63,'Pelan Pengambilan'!AA63,'Pelan Pengambilan'!AC63,'Pelan Pengambilan'!AE63),"")</f>
        <v>0</v>
      </c>
    </row>
    <row r="121" ht="19.5" customHeight="1">
      <c r="A121" s="41"/>
      <c r="B121" s="41"/>
      <c r="C121" s="41"/>
      <c r="D121" s="155" t="s">
        <v>276</v>
      </c>
      <c r="E121" s="41"/>
      <c r="F121" s="41"/>
      <c r="G121" s="158"/>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c r="CR121" s="158"/>
      <c r="CS121" s="158"/>
      <c r="CT121" s="158"/>
      <c r="CU121" s="158"/>
      <c r="CV121" s="158"/>
      <c r="CW121" s="158"/>
      <c r="CX121" s="158"/>
      <c r="CY121" s="158"/>
      <c r="CZ121" s="158"/>
      <c r="DA121" s="158"/>
      <c r="DB121" s="158"/>
      <c r="DC121" s="158"/>
      <c r="DD121" s="158"/>
      <c r="DE121" s="158"/>
      <c r="DF121" s="158"/>
      <c r="DG121" s="158"/>
      <c r="DH121" s="41"/>
      <c r="DI121" s="41"/>
      <c r="DJ121" s="3"/>
      <c r="DK121" s="3"/>
      <c r="DL121" s="3"/>
      <c r="DM121" s="3"/>
    </row>
    <row r="122" ht="19.5" customHeight="1">
      <c r="A122" s="153" t="str">
        <f>'Pelan Pengambilan'!B64</f>
        <v/>
      </c>
      <c r="B122" s="154" t="str">
        <f>'Pelan Pengambilan'!C64</f>
        <v/>
      </c>
      <c r="C122" s="153" t="str">
        <f t="array" ref="C122">IFERROR(IF(INDEX(Strategi!$F$5:$F$134,MATCH(LARGE(Strategi!$K$5:$K$134,59),Strategi!$K$5:$K$134,0))="","","("&amp;COUNTIFS('Pelan Pengambilan'!$B$6:$B$64,'Pelan Pengambilan'!$B64,'Pelan Pengambilan'!$C$6:$C$64,'Pelan Pengambilan'!$C64)&amp;") "&amp;INDEX(Strategi!$F$5:$F$134,MATCH(LARGE(Strategi!$K$5:$K$134,59),Strategi!$K$5:$K$134,0))),"")</f>
        <v/>
      </c>
      <c r="D122" s="155" t="s">
        <v>275</v>
      </c>
      <c r="E122" s="156" t="str">
        <f>IFERROR(IF(COUNT('Pelan Pengambilan'!H64,'Pelan Pengambilan'!J64,'Pelan Pengambilan'!L64,'Pelan Pengambilan'!N64,'Pelan Pengambilan'!P64,'Pelan Pengambilan'!R64,'Pelan Pengambilan'!T64,'Pelan Pengambilan'!V64,'Pelan Pengambilan'!X64,'Pelan Pengambilan'!Z64,'Pelan Pengambilan'!AB64,'Pelan Pengambilan'!AD64)=0,"",COUNT('Pelan Pengambilan'!I64,'Pelan Pengambilan'!K64,'Pelan Pengambilan'!M64,'Pelan Pengambilan'!O64,'Pelan Pengambilan'!Q64,'Pelan Pengambilan'!S64,'Pelan Pengambilan'!U64,'Pelan Pengambilan'!W64,'Pelan Pengambilan'!Y64,'Pelan Pengambilan'!AA64,'Pelan Pengambilan'!AC64,'Pelan Pengambilan'!AE64)/COUNT('Pelan Pengambilan'!H64,'Pelan Pengambilan'!J64,'Pelan Pengambilan'!L64,'Pelan Pengambilan'!N64,'Pelan Pengambilan'!P64,'Pelan Pengambilan'!R64,'Pelan Pengambilan'!T64,'Pelan Pengambilan'!V64,'Pelan Pengambilan'!X64,'Pelan Pengambilan'!Z64,'Pelan Pengambilan'!AB64,'Pelan Pengambilan'!AD64)),"")</f>
        <v/>
      </c>
      <c r="F122" s="157" t="str">
        <f>IFERROR(IF('Pelan Pengambilan'!G64="","",'Pelan Pengambilan'!G64),"")</f>
        <v/>
      </c>
      <c r="G122" s="158"/>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c r="CR122" s="158"/>
      <c r="CS122" s="158"/>
      <c r="CT122" s="158"/>
      <c r="CU122" s="158"/>
      <c r="CV122" s="158"/>
      <c r="CW122" s="158"/>
      <c r="CX122" s="158"/>
      <c r="CY122" s="158"/>
      <c r="CZ122" s="158"/>
      <c r="DA122" s="158"/>
      <c r="DB122" s="158"/>
      <c r="DC122" s="158"/>
      <c r="DD122" s="158"/>
      <c r="DE122" s="158"/>
      <c r="DF122" s="158"/>
      <c r="DG122" s="158"/>
      <c r="DH122" s="154" t="str">
        <f>'Pelan Pengambilan'!AF64</f>
        <v/>
      </c>
      <c r="DI122" s="154"/>
      <c r="DJ122" s="3">
        <f>IFERROR(MIN('Pelan Pengambilan'!H64,'Pelan Pengambilan'!J64,'Pelan Pengambilan'!L64,'Pelan Pengambilan'!N64,'Pelan Pengambilan'!P64,'Pelan Pengambilan'!R64,'Pelan Pengambilan'!T64,'Pelan Pengambilan'!V64,'Pelan Pengambilan'!X64,'Pelan Pengambilan'!Z64,'Pelan Pengambilan'!AB64,'Pelan Pengambilan'!AD64),"")</f>
        <v>0</v>
      </c>
      <c r="DK122" s="3">
        <f>IFERROR(MAX('Pelan Pengambilan'!H64,'Pelan Pengambilan'!J64,'Pelan Pengambilan'!L64,'Pelan Pengambilan'!N64,'Pelan Pengambilan'!P64,'Pelan Pengambilan'!R64,'Pelan Pengambilan'!T64,'Pelan Pengambilan'!V64,'Pelan Pengambilan'!X64,'Pelan Pengambilan'!Z64,'Pelan Pengambilan'!AB64,'Pelan Pengambilan'!AD64),"")</f>
        <v>0</v>
      </c>
      <c r="DL122" s="3">
        <f>IFERROR(MIN('Pelan Pengambilan'!I64,'Pelan Pengambilan'!K64,'Pelan Pengambilan'!M64,'Pelan Pengambilan'!O64,'Pelan Pengambilan'!Q64,'Pelan Pengambilan'!S64,'Pelan Pengambilan'!U64,'Pelan Pengambilan'!W64,'Pelan Pengambilan'!Y64,'Pelan Pengambilan'!AA64,'Pelan Pengambilan'!AC64,'Pelan Pengambilan'!AE64),"")</f>
        <v>0</v>
      </c>
      <c r="DM122" s="3">
        <f>IFERROR(MAX('Pelan Pengambilan'!I64,'Pelan Pengambilan'!K64,'Pelan Pengambilan'!M64,'Pelan Pengambilan'!O64,'Pelan Pengambilan'!Q64,'Pelan Pengambilan'!S64,'Pelan Pengambilan'!U64,'Pelan Pengambilan'!W64,'Pelan Pengambilan'!Y64,'Pelan Pengambilan'!AA64,'Pelan Pengambilan'!AC64,'Pelan Pengambilan'!AE64),"")</f>
        <v>0</v>
      </c>
    </row>
    <row r="123" ht="19.5" customHeight="1">
      <c r="A123" s="41"/>
      <c r="B123" s="41"/>
      <c r="C123" s="41"/>
      <c r="D123" s="155" t="s">
        <v>276</v>
      </c>
      <c r="E123" s="41"/>
      <c r="F123" s="41"/>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c r="CR123" s="158"/>
      <c r="CS123" s="158"/>
      <c r="CT123" s="158"/>
      <c r="CU123" s="158"/>
      <c r="CV123" s="158"/>
      <c r="CW123" s="158"/>
      <c r="CX123" s="158"/>
      <c r="CY123" s="158"/>
      <c r="CZ123" s="158"/>
      <c r="DA123" s="158"/>
      <c r="DB123" s="158"/>
      <c r="DC123" s="158"/>
      <c r="DD123" s="158"/>
      <c r="DE123" s="158"/>
      <c r="DF123" s="158"/>
      <c r="DG123" s="158"/>
      <c r="DH123" s="41"/>
      <c r="DI123" s="41"/>
      <c r="DJ123" s="3"/>
      <c r="DK123" s="3"/>
      <c r="DL123" s="3"/>
      <c r="DM123" s="3"/>
    </row>
    <row r="124" ht="19.5" customHeight="1">
      <c r="A124" s="153" t="str">
        <f>'Pelan Pengambilan'!B65</f>
        <v/>
      </c>
      <c r="B124" s="154" t="str">
        <f>'Pelan Pengambilan'!C65</f>
        <v/>
      </c>
      <c r="C124" s="153" t="str">
        <f t="array" ref="C124">IFERROR(IF(INDEX(Strategi!$F$5:$F$134,MATCH(LARGE(Strategi!$K$5:$K$134,60),Strategi!$K$5:$K$134,0))="","","("&amp;COUNTIFS('Pelan Pengambilan'!$B$6:$B$65,'Pelan Pengambilan'!$B65,'Pelan Pengambilan'!$C$6:$C$65,'Pelan Pengambilan'!$C65)&amp;") "&amp;INDEX(Strategi!$F$5:$F$134,MATCH(LARGE(Strategi!$K$5:$K$134,60),Strategi!$K$5:$K$134,0))),"")</f>
        <v/>
      </c>
      <c r="D124" s="155" t="s">
        <v>275</v>
      </c>
      <c r="E124" s="156" t="str">
        <f>IFERROR(IF(COUNT('Pelan Pengambilan'!H65,'Pelan Pengambilan'!J65,'Pelan Pengambilan'!L65,'Pelan Pengambilan'!N65,'Pelan Pengambilan'!P65,'Pelan Pengambilan'!R65,'Pelan Pengambilan'!T65,'Pelan Pengambilan'!V65,'Pelan Pengambilan'!X65,'Pelan Pengambilan'!Z65,'Pelan Pengambilan'!AB65,'Pelan Pengambilan'!AD65)=0,"",COUNT('Pelan Pengambilan'!I65,'Pelan Pengambilan'!K65,'Pelan Pengambilan'!M65,'Pelan Pengambilan'!O65,'Pelan Pengambilan'!Q65,'Pelan Pengambilan'!S65,'Pelan Pengambilan'!U65,'Pelan Pengambilan'!W65,'Pelan Pengambilan'!Y65,'Pelan Pengambilan'!AA65,'Pelan Pengambilan'!AC65,'Pelan Pengambilan'!AE65)/COUNT('Pelan Pengambilan'!H65,'Pelan Pengambilan'!J65,'Pelan Pengambilan'!L65,'Pelan Pengambilan'!N65,'Pelan Pengambilan'!P65,'Pelan Pengambilan'!R65,'Pelan Pengambilan'!T65,'Pelan Pengambilan'!V65,'Pelan Pengambilan'!X65,'Pelan Pengambilan'!Z65,'Pelan Pengambilan'!AB65,'Pelan Pengambilan'!AD65)),"")</f>
        <v/>
      </c>
      <c r="F124" s="157" t="str">
        <f>IFERROR(IF('Pelan Pengambilan'!G65="","",'Pelan Pengambilan'!G65),"")</f>
        <v/>
      </c>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c r="CR124" s="158"/>
      <c r="CS124" s="158"/>
      <c r="CT124" s="158"/>
      <c r="CU124" s="158"/>
      <c r="CV124" s="158"/>
      <c r="CW124" s="158"/>
      <c r="CX124" s="158"/>
      <c r="CY124" s="158"/>
      <c r="CZ124" s="158"/>
      <c r="DA124" s="158"/>
      <c r="DB124" s="158"/>
      <c r="DC124" s="158"/>
      <c r="DD124" s="158"/>
      <c r="DE124" s="158"/>
      <c r="DF124" s="158"/>
      <c r="DG124" s="158"/>
      <c r="DH124" s="154" t="str">
        <f>'Pelan Pengambilan'!AF65</f>
        <v/>
      </c>
      <c r="DI124" s="154"/>
      <c r="DJ124" s="3">
        <f>IFERROR(MIN('Pelan Pengambilan'!H65,'Pelan Pengambilan'!J65,'Pelan Pengambilan'!L65,'Pelan Pengambilan'!N65,'Pelan Pengambilan'!P65,'Pelan Pengambilan'!R65,'Pelan Pengambilan'!T65,'Pelan Pengambilan'!V65,'Pelan Pengambilan'!X65,'Pelan Pengambilan'!Z65,'Pelan Pengambilan'!AB65,'Pelan Pengambilan'!AD65),"")</f>
        <v>0</v>
      </c>
      <c r="DK124" s="3">
        <f>IFERROR(MAX('Pelan Pengambilan'!H65,'Pelan Pengambilan'!J65,'Pelan Pengambilan'!L65,'Pelan Pengambilan'!N65,'Pelan Pengambilan'!P65,'Pelan Pengambilan'!R65,'Pelan Pengambilan'!T65,'Pelan Pengambilan'!V65,'Pelan Pengambilan'!X65,'Pelan Pengambilan'!Z65,'Pelan Pengambilan'!AB65,'Pelan Pengambilan'!AD65),"")</f>
        <v>0</v>
      </c>
      <c r="DL124" s="3">
        <f>IFERROR(MIN('Pelan Pengambilan'!I65,'Pelan Pengambilan'!K65,'Pelan Pengambilan'!M65,'Pelan Pengambilan'!O65,'Pelan Pengambilan'!Q65,'Pelan Pengambilan'!S65,'Pelan Pengambilan'!U65,'Pelan Pengambilan'!W65,'Pelan Pengambilan'!Y65,'Pelan Pengambilan'!AA65,'Pelan Pengambilan'!AC65,'Pelan Pengambilan'!AE65),"")</f>
        <v>0</v>
      </c>
      <c r="DM124" s="3">
        <f>IFERROR(MAX('Pelan Pengambilan'!I65,'Pelan Pengambilan'!K65,'Pelan Pengambilan'!M65,'Pelan Pengambilan'!O65,'Pelan Pengambilan'!Q65,'Pelan Pengambilan'!S65,'Pelan Pengambilan'!U65,'Pelan Pengambilan'!W65,'Pelan Pengambilan'!Y65,'Pelan Pengambilan'!AA65,'Pelan Pengambilan'!AC65,'Pelan Pengambilan'!AE65),"")</f>
        <v>0</v>
      </c>
    </row>
    <row r="125" ht="19.5" customHeight="1">
      <c r="A125" s="41"/>
      <c r="B125" s="41"/>
      <c r="C125" s="41"/>
      <c r="D125" s="155" t="s">
        <v>276</v>
      </c>
      <c r="E125" s="41"/>
      <c r="F125" s="41"/>
      <c r="G125" s="158"/>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c r="CR125" s="158"/>
      <c r="CS125" s="158"/>
      <c r="CT125" s="158"/>
      <c r="CU125" s="158"/>
      <c r="CV125" s="158"/>
      <c r="CW125" s="158"/>
      <c r="CX125" s="158"/>
      <c r="CY125" s="158"/>
      <c r="CZ125" s="158"/>
      <c r="DA125" s="158"/>
      <c r="DB125" s="158"/>
      <c r="DC125" s="158"/>
      <c r="DD125" s="158"/>
      <c r="DE125" s="158"/>
      <c r="DF125" s="158"/>
      <c r="DG125" s="158"/>
      <c r="DH125" s="41"/>
      <c r="DI125" s="41"/>
      <c r="DJ125" s="3"/>
      <c r="DK125" s="3"/>
      <c r="DL125" s="3"/>
      <c r="DM125" s="3"/>
    </row>
    <row r="126" ht="19.5" customHeight="1">
      <c r="A126" s="153" t="str">
        <f>'Pelan Pengambilan'!B66</f>
        <v/>
      </c>
      <c r="B126" s="154" t="str">
        <f>'Pelan Pengambilan'!C66</f>
        <v/>
      </c>
      <c r="C126" s="153" t="str">
        <f t="array" ref="C126">IFERROR(IF(INDEX(Strategi!$F$5:$F$134,MATCH(LARGE(Strategi!$K$5:$K$134,61),Strategi!$K$5:$K$134,0))="","","("&amp;COUNTIFS('Pelan Pengambilan'!$B$6:$B$66,'Pelan Pengambilan'!$B66,'Pelan Pengambilan'!$C$6:$C$66,'Pelan Pengambilan'!$C66)&amp;") "&amp;INDEX(Strategi!$F$5:$F$134,MATCH(LARGE(Strategi!$K$5:$K$134,61),Strategi!$K$5:$K$134,0))),"")</f>
        <v/>
      </c>
      <c r="D126" s="155" t="s">
        <v>275</v>
      </c>
      <c r="E126" s="156" t="str">
        <f>IFERROR(IF(COUNT('Pelan Pengambilan'!H66,'Pelan Pengambilan'!J66,'Pelan Pengambilan'!L66,'Pelan Pengambilan'!N66,'Pelan Pengambilan'!P66,'Pelan Pengambilan'!R66,'Pelan Pengambilan'!T66,'Pelan Pengambilan'!V66,'Pelan Pengambilan'!X66,'Pelan Pengambilan'!Z66,'Pelan Pengambilan'!AB66,'Pelan Pengambilan'!AD66)=0,"",COUNT('Pelan Pengambilan'!I66,'Pelan Pengambilan'!K66,'Pelan Pengambilan'!M66,'Pelan Pengambilan'!O66,'Pelan Pengambilan'!Q66,'Pelan Pengambilan'!S66,'Pelan Pengambilan'!U66,'Pelan Pengambilan'!W66,'Pelan Pengambilan'!Y66,'Pelan Pengambilan'!AA66,'Pelan Pengambilan'!AC66,'Pelan Pengambilan'!AE66)/COUNT('Pelan Pengambilan'!H66,'Pelan Pengambilan'!J66,'Pelan Pengambilan'!L66,'Pelan Pengambilan'!N66,'Pelan Pengambilan'!P66,'Pelan Pengambilan'!R66,'Pelan Pengambilan'!T66,'Pelan Pengambilan'!V66,'Pelan Pengambilan'!X66,'Pelan Pengambilan'!Z66,'Pelan Pengambilan'!AB66,'Pelan Pengambilan'!AD66)),"")</f>
        <v/>
      </c>
      <c r="F126" s="157" t="str">
        <f>IFERROR(IF('Pelan Pengambilan'!G66="","",'Pelan Pengambilan'!G66),"")</f>
        <v/>
      </c>
      <c r="G126" s="158"/>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c r="CR126" s="158"/>
      <c r="CS126" s="158"/>
      <c r="CT126" s="158"/>
      <c r="CU126" s="158"/>
      <c r="CV126" s="158"/>
      <c r="CW126" s="158"/>
      <c r="CX126" s="158"/>
      <c r="CY126" s="158"/>
      <c r="CZ126" s="158"/>
      <c r="DA126" s="158"/>
      <c r="DB126" s="158"/>
      <c r="DC126" s="158"/>
      <c r="DD126" s="158"/>
      <c r="DE126" s="158"/>
      <c r="DF126" s="158"/>
      <c r="DG126" s="158"/>
      <c r="DH126" s="154" t="str">
        <f>'Pelan Pengambilan'!AF66</f>
        <v/>
      </c>
      <c r="DI126" s="154"/>
      <c r="DJ126" s="3">
        <f>IFERROR(MIN('Pelan Pengambilan'!H66,'Pelan Pengambilan'!J66,'Pelan Pengambilan'!L66,'Pelan Pengambilan'!N66,'Pelan Pengambilan'!P66,'Pelan Pengambilan'!R66,'Pelan Pengambilan'!T66,'Pelan Pengambilan'!V66,'Pelan Pengambilan'!X66,'Pelan Pengambilan'!Z66,'Pelan Pengambilan'!AB66,'Pelan Pengambilan'!AD66),"")</f>
        <v>0</v>
      </c>
      <c r="DK126" s="3">
        <f>IFERROR(MAX('Pelan Pengambilan'!H66,'Pelan Pengambilan'!J66,'Pelan Pengambilan'!L66,'Pelan Pengambilan'!N66,'Pelan Pengambilan'!P66,'Pelan Pengambilan'!R66,'Pelan Pengambilan'!T66,'Pelan Pengambilan'!V66,'Pelan Pengambilan'!X66,'Pelan Pengambilan'!Z66,'Pelan Pengambilan'!AB66,'Pelan Pengambilan'!AD66),"")</f>
        <v>0</v>
      </c>
      <c r="DL126" s="3">
        <f>IFERROR(MIN('Pelan Pengambilan'!I66,'Pelan Pengambilan'!K66,'Pelan Pengambilan'!M66,'Pelan Pengambilan'!O66,'Pelan Pengambilan'!Q66,'Pelan Pengambilan'!S66,'Pelan Pengambilan'!U66,'Pelan Pengambilan'!W66,'Pelan Pengambilan'!Y66,'Pelan Pengambilan'!AA66,'Pelan Pengambilan'!AC66,'Pelan Pengambilan'!AE66),"")</f>
        <v>0</v>
      </c>
      <c r="DM126" s="3">
        <f>IFERROR(MAX('Pelan Pengambilan'!I66,'Pelan Pengambilan'!K66,'Pelan Pengambilan'!M66,'Pelan Pengambilan'!O66,'Pelan Pengambilan'!Q66,'Pelan Pengambilan'!S66,'Pelan Pengambilan'!U66,'Pelan Pengambilan'!W66,'Pelan Pengambilan'!Y66,'Pelan Pengambilan'!AA66,'Pelan Pengambilan'!AC66,'Pelan Pengambilan'!AE66),"")</f>
        <v>0</v>
      </c>
    </row>
    <row r="127" ht="19.5" customHeight="1">
      <c r="A127" s="41"/>
      <c r="B127" s="41"/>
      <c r="C127" s="41"/>
      <c r="D127" s="155" t="s">
        <v>276</v>
      </c>
      <c r="E127" s="41"/>
      <c r="F127" s="41"/>
      <c r="G127" s="158"/>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c r="CR127" s="158"/>
      <c r="CS127" s="158"/>
      <c r="CT127" s="158"/>
      <c r="CU127" s="158"/>
      <c r="CV127" s="158"/>
      <c r="CW127" s="158"/>
      <c r="CX127" s="158"/>
      <c r="CY127" s="158"/>
      <c r="CZ127" s="158"/>
      <c r="DA127" s="158"/>
      <c r="DB127" s="158"/>
      <c r="DC127" s="158"/>
      <c r="DD127" s="158"/>
      <c r="DE127" s="158"/>
      <c r="DF127" s="158"/>
      <c r="DG127" s="158"/>
      <c r="DH127" s="41"/>
      <c r="DI127" s="41"/>
      <c r="DJ127" s="3"/>
      <c r="DK127" s="3"/>
      <c r="DL127" s="3"/>
      <c r="DM127" s="3"/>
    </row>
    <row r="128" ht="19.5" customHeight="1">
      <c r="A128" s="153" t="str">
        <f>'Pelan Pengambilan'!B67</f>
        <v/>
      </c>
      <c r="B128" s="154" t="str">
        <f>'Pelan Pengambilan'!C67</f>
        <v/>
      </c>
      <c r="C128" s="153" t="str">
        <f t="array" ref="C128">IFERROR(IF(INDEX(Strategi!$F$5:$F$134,MATCH(LARGE(Strategi!$K$5:$K$134,62),Strategi!$K$5:$K$134,0))="","","("&amp;COUNTIFS('Pelan Pengambilan'!$B$6:$B$67,'Pelan Pengambilan'!$B67,'Pelan Pengambilan'!$C$6:$C$67,'Pelan Pengambilan'!$C67)&amp;") "&amp;INDEX(Strategi!$F$5:$F$134,MATCH(LARGE(Strategi!$K$5:$K$134,62),Strategi!$K$5:$K$134,0))),"")</f>
        <v/>
      </c>
      <c r="D128" s="155" t="s">
        <v>275</v>
      </c>
      <c r="E128" s="156" t="str">
        <f>IFERROR(IF(COUNT('Pelan Pengambilan'!H67,'Pelan Pengambilan'!J67,'Pelan Pengambilan'!L67,'Pelan Pengambilan'!N67,'Pelan Pengambilan'!P67,'Pelan Pengambilan'!R67,'Pelan Pengambilan'!T67,'Pelan Pengambilan'!V67,'Pelan Pengambilan'!X67,'Pelan Pengambilan'!Z67,'Pelan Pengambilan'!AB67,'Pelan Pengambilan'!AD67)=0,"",COUNT('Pelan Pengambilan'!I67,'Pelan Pengambilan'!K67,'Pelan Pengambilan'!M67,'Pelan Pengambilan'!O67,'Pelan Pengambilan'!Q67,'Pelan Pengambilan'!S67,'Pelan Pengambilan'!U67,'Pelan Pengambilan'!W67,'Pelan Pengambilan'!Y67,'Pelan Pengambilan'!AA67,'Pelan Pengambilan'!AC67,'Pelan Pengambilan'!AE67)/COUNT('Pelan Pengambilan'!H67,'Pelan Pengambilan'!J67,'Pelan Pengambilan'!L67,'Pelan Pengambilan'!N67,'Pelan Pengambilan'!P67,'Pelan Pengambilan'!R67,'Pelan Pengambilan'!T67,'Pelan Pengambilan'!V67,'Pelan Pengambilan'!X67,'Pelan Pengambilan'!Z67,'Pelan Pengambilan'!AB67,'Pelan Pengambilan'!AD67)),"")</f>
        <v/>
      </c>
      <c r="F128" s="157" t="str">
        <f>IFERROR(IF('Pelan Pengambilan'!G67="","",'Pelan Pengambilan'!G67),"")</f>
        <v/>
      </c>
      <c r="G128" s="158"/>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c r="CR128" s="158"/>
      <c r="CS128" s="158"/>
      <c r="CT128" s="158"/>
      <c r="CU128" s="158"/>
      <c r="CV128" s="158"/>
      <c r="CW128" s="158"/>
      <c r="CX128" s="158"/>
      <c r="CY128" s="158"/>
      <c r="CZ128" s="158"/>
      <c r="DA128" s="158"/>
      <c r="DB128" s="158"/>
      <c r="DC128" s="158"/>
      <c r="DD128" s="158"/>
      <c r="DE128" s="158"/>
      <c r="DF128" s="158"/>
      <c r="DG128" s="158"/>
      <c r="DH128" s="154" t="str">
        <f>'Pelan Pengambilan'!AF67</f>
        <v/>
      </c>
      <c r="DI128" s="154"/>
      <c r="DJ128" s="3">
        <f>IFERROR(MIN('Pelan Pengambilan'!H67,'Pelan Pengambilan'!J67,'Pelan Pengambilan'!L67,'Pelan Pengambilan'!N67,'Pelan Pengambilan'!P67,'Pelan Pengambilan'!R67,'Pelan Pengambilan'!T67,'Pelan Pengambilan'!V67,'Pelan Pengambilan'!X67,'Pelan Pengambilan'!Z67,'Pelan Pengambilan'!AB67,'Pelan Pengambilan'!AD67),"")</f>
        <v>0</v>
      </c>
      <c r="DK128" s="3">
        <f>IFERROR(MAX('Pelan Pengambilan'!H67,'Pelan Pengambilan'!J67,'Pelan Pengambilan'!L67,'Pelan Pengambilan'!N67,'Pelan Pengambilan'!P67,'Pelan Pengambilan'!R67,'Pelan Pengambilan'!T67,'Pelan Pengambilan'!V67,'Pelan Pengambilan'!X67,'Pelan Pengambilan'!Z67,'Pelan Pengambilan'!AB67,'Pelan Pengambilan'!AD67),"")</f>
        <v>0</v>
      </c>
      <c r="DL128" s="3">
        <f>IFERROR(MIN('Pelan Pengambilan'!I67,'Pelan Pengambilan'!K67,'Pelan Pengambilan'!M67,'Pelan Pengambilan'!O67,'Pelan Pengambilan'!Q67,'Pelan Pengambilan'!S67,'Pelan Pengambilan'!U67,'Pelan Pengambilan'!W67,'Pelan Pengambilan'!Y67,'Pelan Pengambilan'!AA67,'Pelan Pengambilan'!AC67,'Pelan Pengambilan'!AE67),"")</f>
        <v>0</v>
      </c>
      <c r="DM128" s="3">
        <f>IFERROR(MAX('Pelan Pengambilan'!I67,'Pelan Pengambilan'!K67,'Pelan Pengambilan'!M67,'Pelan Pengambilan'!O67,'Pelan Pengambilan'!Q67,'Pelan Pengambilan'!S67,'Pelan Pengambilan'!U67,'Pelan Pengambilan'!W67,'Pelan Pengambilan'!Y67,'Pelan Pengambilan'!AA67,'Pelan Pengambilan'!AC67,'Pelan Pengambilan'!AE67),"")</f>
        <v>0</v>
      </c>
    </row>
    <row r="129" ht="19.5" customHeight="1">
      <c r="A129" s="41"/>
      <c r="B129" s="41"/>
      <c r="C129" s="41"/>
      <c r="D129" s="155" t="s">
        <v>276</v>
      </c>
      <c r="E129" s="41"/>
      <c r="F129" s="41"/>
      <c r="G129" s="158"/>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c r="CR129" s="158"/>
      <c r="CS129" s="158"/>
      <c r="CT129" s="158"/>
      <c r="CU129" s="158"/>
      <c r="CV129" s="158"/>
      <c r="CW129" s="158"/>
      <c r="CX129" s="158"/>
      <c r="CY129" s="158"/>
      <c r="CZ129" s="158"/>
      <c r="DA129" s="158"/>
      <c r="DB129" s="158"/>
      <c r="DC129" s="158"/>
      <c r="DD129" s="158"/>
      <c r="DE129" s="158"/>
      <c r="DF129" s="158"/>
      <c r="DG129" s="158"/>
      <c r="DH129" s="41"/>
      <c r="DI129" s="41"/>
      <c r="DJ129" s="3"/>
      <c r="DK129" s="3"/>
      <c r="DL129" s="3"/>
      <c r="DM129" s="3"/>
    </row>
    <row r="130" ht="19.5" customHeight="1">
      <c r="A130" s="153" t="str">
        <f>'Pelan Pengambilan'!B68</f>
        <v/>
      </c>
      <c r="B130" s="154" t="str">
        <f>'Pelan Pengambilan'!C68</f>
        <v/>
      </c>
      <c r="C130" s="153" t="str">
        <f t="array" ref="C130">IFERROR(IF(INDEX(Strategi!$F$5:$F$134,MATCH(LARGE(Strategi!$K$5:$K$134,63),Strategi!$K$5:$K$134,0))="","","("&amp;COUNTIFS('Pelan Pengambilan'!$B$6:$B$68,'Pelan Pengambilan'!$B68,'Pelan Pengambilan'!$C$6:$C$68,'Pelan Pengambilan'!$C68)&amp;") "&amp;INDEX(Strategi!$F$5:$F$134,MATCH(LARGE(Strategi!$K$5:$K$134,63),Strategi!$K$5:$K$134,0))),"")</f>
        <v/>
      </c>
      <c r="D130" s="155" t="s">
        <v>275</v>
      </c>
      <c r="E130" s="156" t="str">
        <f>IFERROR(IF(COUNT('Pelan Pengambilan'!H68,'Pelan Pengambilan'!J68,'Pelan Pengambilan'!L68,'Pelan Pengambilan'!N68,'Pelan Pengambilan'!P68,'Pelan Pengambilan'!R68,'Pelan Pengambilan'!T68,'Pelan Pengambilan'!V68,'Pelan Pengambilan'!X68,'Pelan Pengambilan'!Z68,'Pelan Pengambilan'!AB68,'Pelan Pengambilan'!AD68)=0,"",COUNT('Pelan Pengambilan'!I68,'Pelan Pengambilan'!K68,'Pelan Pengambilan'!M68,'Pelan Pengambilan'!O68,'Pelan Pengambilan'!Q68,'Pelan Pengambilan'!S68,'Pelan Pengambilan'!U68,'Pelan Pengambilan'!W68,'Pelan Pengambilan'!Y68,'Pelan Pengambilan'!AA68,'Pelan Pengambilan'!AC68,'Pelan Pengambilan'!AE68)/COUNT('Pelan Pengambilan'!H68,'Pelan Pengambilan'!J68,'Pelan Pengambilan'!L68,'Pelan Pengambilan'!N68,'Pelan Pengambilan'!P68,'Pelan Pengambilan'!R68,'Pelan Pengambilan'!T68,'Pelan Pengambilan'!V68,'Pelan Pengambilan'!X68,'Pelan Pengambilan'!Z68,'Pelan Pengambilan'!AB68,'Pelan Pengambilan'!AD68)),"")</f>
        <v/>
      </c>
      <c r="F130" s="157" t="str">
        <f>IFERROR(IF('Pelan Pengambilan'!G68="","",'Pelan Pengambilan'!G68),"")</f>
        <v/>
      </c>
      <c r="G130" s="158"/>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c r="CR130" s="158"/>
      <c r="CS130" s="158"/>
      <c r="CT130" s="158"/>
      <c r="CU130" s="158"/>
      <c r="CV130" s="158"/>
      <c r="CW130" s="158"/>
      <c r="CX130" s="158"/>
      <c r="CY130" s="158"/>
      <c r="CZ130" s="158"/>
      <c r="DA130" s="158"/>
      <c r="DB130" s="158"/>
      <c r="DC130" s="158"/>
      <c r="DD130" s="158"/>
      <c r="DE130" s="158"/>
      <c r="DF130" s="158"/>
      <c r="DG130" s="158"/>
      <c r="DH130" s="154" t="str">
        <f>'Pelan Pengambilan'!AF68</f>
        <v/>
      </c>
      <c r="DI130" s="154"/>
      <c r="DJ130" s="3">
        <f>IFERROR(MIN('Pelan Pengambilan'!H68,'Pelan Pengambilan'!J68,'Pelan Pengambilan'!L68,'Pelan Pengambilan'!N68,'Pelan Pengambilan'!P68,'Pelan Pengambilan'!R68,'Pelan Pengambilan'!T68,'Pelan Pengambilan'!V68,'Pelan Pengambilan'!X68,'Pelan Pengambilan'!Z68,'Pelan Pengambilan'!AB68,'Pelan Pengambilan'!AD68),"")</f>
        <v>0</v>
      </c>
      <c r="DK130" s="3">
        <f>IFERROR(MAX('Pelan Pengambilan'!H68,'Pelan Pengambilan'!J68,'Pelan Pengambilan'!L68,'Pelan Pengambilan'!N68,'Pelan Pengambilan'!P68,'Pelan Pengambilan'!R68,'Pelan Pengambilan'!T68,'Pelan Pengambilan'!V68,'Pelan Pengambilan'!X68,'Pelan Pengambilan'!Z68,'Pelan Pengambilan'!AB68,'Pelan Pengambilan'!AD68),"")</f>
        <v>0</v>
      </c>
      <c r="DL130" s="3">
        <f>IFERROR(MIN('Pelan Pengambilan'!I68,'Pelan Pengambilan'!K68,'Pelan Pengambilan'!M68,'Pelan Pengambilan'!O68,'Pelan Pengambilan'!Q68,'Pelan Pengambilan'!S68,'Pelan Pengambilan'!U68,'Pelan Pengambilan'!W68,'Pelan Pengambilan'!Y68,'Pelan Pengambilan'!AA68,'Pelan Pengambilan'!AC68,'Pelan Pengambilan'!AE68),"")</f>
        <v>0</v>
      </c>
      <c r="DM130" s="3">
        <f>IFERROR(MAX('Pelan Pengambilan'!I68,'Pelan Pengambilan'!K68,'Pelan Pengambilan'!M68,'Pelan Pengambilan'!O68,'Pelan Pengambilan'!Q68,'Pelan Pengambilan'!S68,'Pelan Pengambilan'!U68,'Pelan Pengambilan'!W68,'Pelan Pengambilan'!Y68,'Pelan Pengambilan'!AA68,'Pelan Pengambilan'!AC68,'Pelan Pengambilan'!AE68),"")</f>
        <v>0</v>
      </c>
    </row>
    <row r="131" ht="19.5" customHeight="1">
      <c r="A131" s="41"/>
      <c r="B131" s="41"/>
      <c r="C131" s="41"/>
      <c r="D131" s="155" t="s">
        <v>276</v>
      </c>
      <c r="E131" s="41"/>
      <c r="F131" s="41"/>
      <c r="G131" s="158"/>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c r="CR131" s="158"/>
      <c r="CS131" s="158"/>
      <c r="CT131" s="158"/>
      <c r="CU131" s="158"/>
      <c r="CV131" s="158"/>
      <c r="CW131" s="158"/>
      <c r="CX131" s="158"/>
      <c r="CY131" s="158"/>
      <c r="CZ131" s="158"/>
      <c r="DA131" s="158"/>
      <c r="DB131" s="158"/>
      <c r="DC131" s="158"/>
      <c r="DD131" s="158"/>
      <c r="DE131" s="158"/>
      <c r="DF131" s="158"/>
      <c r="DG131" s="158"/>
      <c r="DH131" s="41"/>
      <c r="DI131" s="41"/>
      <c r="DJ131" s="3"/>
      <c r="DK131" s="3"/>
      <c r="DL131" s="3"/>
      <c r="DM131" s="3"/>
    </row>
    <row r="132" ht="19.5" customHeight="1">
      <c r="A132" s="153" t="str">
        <f>'Pelan Pengambilan'!B69</f>
        <v/>
      </c>
      <c r="B132" s="154" t="str">
        <f>'Pelan Pengambilan'!C69</f>
        <v/>
      </c>
      <c r="C132" s="153" t="str">
        <f t="array" ref="C132">IFERROR(IF(INDEX(Strategi!$F$5:$F$134,MATCH(LARGE(Strategi!$K$5:$K$134,64),Strategi!$K$5:$K$134,0))="","","("&amp;COUNTIFS('Pelan Pengambilan'!$B$6:$B$69,'Pelan Pengambilan'!$B69,'Pelan Pengambilan'!$C$6:$C$69,'Pelan Pengambilan'!$C69)&amp;") "&amp;INDEX(Strategi!$F$5:$F$134,MATCH(LARGE(Strategi!$K$5:$K$134,64),Strategi!$K$5:$K$134,0))),"")</f>
        <v/>
      </c>
      <c r="D132" s="155" t="s">
        <v>275</v>
      </c>
      <c r="E132" s="156" t="str">
        <f>IFERROR(IF(COUNT('Pelan Pengambilan'!H69,'Pelan Pengambilan'!J69,'Pelan Pengambilan'!L69,'Pelan Pengambilan'!N69,'Pelan Pengambilan'!P69,'Pelan Pengambilan'!R69,'Pelan Pengambilan'!T69,'Pelan Pengambilan'!V69,'Pelan Pengambilan'!X69,'Pelan Pengambilan'!Z69,'Pelan Pengambilan'!AB69,'Pelan Pengambilan'!AD69)=0,"",COUNT('Pelan Pengambilan'!I69,'Pelan Pengambilan'!K69,'Pelan Pengambilan'!M69,'Pelan Pengambilan'!O69,'Pelan Pengambilan'!Q69,'Pelan Pengambilan'!S69,'Pelan Pengambilan'!U69,'Pelan Pengambilan'!W69,'Pelan Pengambilan'!Y69,'Pelan Pengambilan'!AA69,'Pelan Pengambilan'!AC69,'Pelan Pengambilan'!AE69)/COUNT('Pelan Pengambilan'!H69,'Pelan Pengambilan'!J69,'Pelan Pengambilan'!L69,'Pelan Pengambilan'!N69,'Pelan Pengambilan'!P69,'Pelan Pengambilan'!R69,'Pelan Pengambilan'!T69,'Pelan Pengambilan'!V69,'Pelan Pengambilan'!X69,'Pelan Pengambilan'!Z69,'Pelan Pengambilan'!AB69,'Pelan Pengambilan'!AD69)),"")</f>
        <v/>
      </c>
      <c r="F132" s="157" t="str">
        <f>IFERROR(IF('Pelan Pengambilan'!G69="","",'Pelan Pengambilan'!G69),"")</f>
        <v/>
      </c>
      <c r="G132" s="158"/>
      <c r="H132" s="158"/>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c r="CS132" s="158"/>
      <c r="CT132" s="158"/>
      <c r="CU132" s="158"/>
      <c r="CV132" s="158"/>
      <c r="CW132" s="158"/>
      <c r="CX132" s="158"/>
      <c r="CY132" s="158"/>
      <c r="CZ132" s="158"/>
      <c r="DA132" s="158"/>
      <c r="DB132" s="158"/>
      <c r="DC132" s="158"/>
      <c r="DD132" s="158"/>
      <c r="DE132" s="158"/>
      <c r="DF132" s="158"/>
      <c r="DG132" s="158"/>
      <c r="DH132" s="154" t="str">
        <f>'Pelan Pengambilan'!AF69</f>
        <v/>
      </c>
      <c r="DI132" s="154"/>
      <c r="DJ132" s="3">
        <f>IFERROR(MIN('Pelan Pengambilan'!H69,'Pelan Pengambilan'!J69,'Pelan Pengambilan'!L69,'Pelan Pengambilan'!N69,'Pelan Pengambilan'!P69,'Pelan Pengambilan'!R69,'Pelan Pengambilan'!T69,'Pelan Pengambilan'!V69,'Pelan Pengambilan'!X69,'Pelan Pengambilan'!Z69,'Pelan Pengambilan'!AB69,'Pelan Pengambilan'!AD69),"")</f>
        <v>0</v>
      </c>
      <c r="DK132" s="3">
        <f>IFERROR(MAX('Pelan Pengambilan'!H69,'Pelan Pengambilan'!J69,'Pelan Pengambilan'!L69,'Pelan Pengambilan'!N69,'Pelan Pengambilan'!P69,'Pelan Pengambilan'!R69,'Pelan Pengambilan'!T69,'Pelan Pengambilan'!V69,'Pelan Pengambilan'!X69,'Pelan Pengambilan'!Z69,'Pelan Pengambilan'!AB69,'Pelan Pengambilan'!AD69),"")</f>
        <v>0</v>
      </c>
      <c r="DL132" s="3">
        <f>IFERROR(MIN('Pelan Pengambilan'!I69,'Pelan Pengambilan'!K69,'Pelan Pengambilan'!M69,'Pelan Pengambilan'!O69,'Pelan Pengambilan'!Q69,'Pelan Pengambilan'!S69,'Pelan Pengambilan'!U69,'Pelan Pengambilan'!W69,'Pelan Pengambilan'!Y69,'Pelan Pengambilan'!AA69,'Pelan Pengambilan'!AC69,'Pelan Pengambilan'!AE69),"")</f>
        <v>0</v>
      </c>
      <c r="DM132" s="3">
        <f>IFERROR(MAX('Pelan Pengambilan'!I69,'Pelan Pengambilan'!K69,'Pelan Pengambilan'!M69,'Pelan Pengambilan'!O69,'Pelan Pengambilan'!Q69,'Pelan Pengambilan'!S69,'Pelan Pengambilan'!U69,'Pelan Pengambilan'!W69,'Pelan Pengambilan'!Y69,'Pelan Pengambilan'!AA69,'Pelan Pengambilan'!AC69,'Pelan Pengambilan'!AE69),"")</f>
        <v>0</v>
      </c>
    </row>
    <row r="133" ht="19.5" customHeight="1">
      <c r="A133" s="41"/>
      <c r="B133" s="41"/>
      <c r="C133" s="41"/>
      <c r="D133" s="155" t="s">
        <v>276</v>
      </c>
      <c r="E133" s="41"/>
      <c r="F133" s="41"/>
      <c r="G133" s="158"/>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c r="CS133" s="158"/>
      <c r="CT133" s="158"/>
      <c r="CU133" s="158"/>
      <c r="CV133" s="158"/>
      <c r="CW133" s="158"/>
      <c r="CX133" s="158"/>
      <c r="CY133" s="158"/>
      <c r="CZ133" s="158"/>
      <c r="DA133" s="158"/>
      <c r="DB133" s="158"/>
      <c r="DC133" s="158"/>
      <c r="DD133" s="158"/>
      <c r="DE133" s="158"/>
      <c r="DF133" s="158"/>
      <c r="DG133" s="158"/>
      <c r="DH133" s="41"/>
      <c r="DI133" s="41"/>
      <c r="DJ133" s="3"/>
      <c r="DK133" s="3"/>
      <c r="DL133" s="3"/>
      <c r="DM133" s="3"/>
    </row>
    <row r="134" ht="19.5" customHeight="1">
      <c r="A134" s="153" t="str">
        <f>'Pelan Pengambilan'!B70</f>
        <v/>
      </c>
      <c r="B134" s="154" t="str">
        <f>'Pelan Pengambilan'!C70</f>
        <v/>
      </c>
      <c r="C134" s="153" t="str">
        <f t="array" ref="C134">IFERROR(IF(INDEX(Strategi!$F$5:$F$134,MATCH(LARGE(Strategi!$K$5:$K$134,65),Strategi!$K$5:$K$134,0))="","","("&amp;COUNTIFS('Pelan Pengambilan'!$B$6:$B$70,'Pelan Pengambilan'!$B70,'Pelan Pengambilan'!$C$6:$C$70,'Pelan Pengambilan'!$C70)&amp;") "&amp;INDEX(Strategi!$F$5:$F$134,MATCH(LARGE(Strategi!$K$5:$K$134,65),Strategi!$K$5:$K$134,0))),"")</f>
        <v/>
      </c>
      <c r="D134" s="155" t="s">
        <v>275</v>
      </c>
      <c r="E134" s="156" t="str">
        <f>IFERROR(IF(COUNT('Pelan Pengambilan'!H70,'Pelan Pengambilan'!J70,'Pelan Pengambilan'!L70,'Pelan Pengambilan'!N70,'Pelan Pengambilan'!P70,'Pelan Pengambilan'!R70,'Pelan Pengambilan'!T70,'Pelan Pengambilan'!V70,'Pelan Pengambilan'!X70,'Pelan Pengambilan'!Z70,'Pelan Pengambilan'!AB70,'Pelan Pengambilan'!AD70)=0,"",COUNT('Pelan Pengambilan'!I70,'Pelan Pengambilan'!K70,'Pelan Pengambilan'!M70,'Pelan Pengambilan'!O70,'Pelan Pengambilan'!Q70,'Pelan Pengambilan'!S70,'Pelan Pengambilan'!U70,'Pelan Pengambilan'!W70,'Pelan Pengambilan'!Y70,'Pelan Pengambilan'!AA70,'Pelan Pengambilan'!AC70,'Pelan Pengambilan'!AE70)/COUNT('Pelan Pengambilan'!H70,'Pelan Pengambilan'!J70,'Pelan Pengambilan'!L70,'Pelan Pengambilan'!N70,'Pelan Pengambilan'!P70,'Pelan Pengambilan'!R70,'Pelan Pengambilan'!T70,'Pelan Pengambilan'!V70,'Pelan Pengambilan'!X70,'Pelan Pengambilan'!Z70,'Pelan Pengambilan'!AB70,'Pelan Pengambilan'!AD70)),"")</f>
        <v/>
      </c>
      <c r="F134" s="157" t="str">
        <f>IFERROR(IF('Pelan Pengambilan'!G70="","",'Pelan Pengambilan'!G70),"")</f>
        <v/>
      </c>
      <c r="G134" s="158"/>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c r="CD134" s="158"/>
      <c r="CE134" s="158"/>
      <c r="CF134" s="158"/>
      <c r="CG134" s="158"/>
      <c r="CH134" s="158"/>
      <c r="CI134" s="158"/>
      <c r="CJ134" s="158"/>
      <c r="CK134" s="158"/>
      <c r="CL134" s="158"/>
      <c r="CM134" s="158"/>
      <c r="CN134" s="158"/>
      <c r="CO134" s="158"/>
      <c r="CP134" s="158"/>
      <c r="CQ134" s="158"/>
      <c r="CR134" s="158"/>
      <c r="CS134" s="158"/>
      <c r="CT134" s="158"/>
      <c r="CU134" s="158"/>
      <c r="CV134" s="158"/>
      <c r="CW134" s="158"/>
      <c r="CX134" s="158"/>
      <c r="CY134" s="158"/>
      <c r="CZ134" s="158"/>
      <c r="DA134" s="158"/>
      <c r="DB134" s="158"/>
      <c r="DC134" s="158"/>
      <c r="DD134" s="158"/>
      <c r="DE134" s="158"/>
      <c r="DF134" s="158"/>
      <c r="DG134" s="158"/>
      <c r="DH134" s="154" t="str">
        <f>'Pelan Pengambilan'!AF70</f>
        <v/>
      </c>
      <c r="DI134" s="154"/>
      <c r="DJ134" s="3">
        <f>IFERROR(MIN('Pelan Pengambilan'!H70,'Pelan Pengambilan'!J70,'Pelan Pengambilan'!L70,'Pelan Pengambilan'!N70,'Pelan Pengambilan'!P70,'Pelan Pengambilan'!R70,'Pelan Pengambilan'!T70,'Pelan Pengambilan'!V70,'Pelan Pengambilan'!X70,'Pelan Pengambilan'!Z70,'Pelan Pengambilan'!AB70,'Pelan Pengambilan'!AD70),"")</f>
        <v>0</v>
      </c>
      <c r="DK134" s="3">
        <f>IFERROR(MAX('Pelan Pengambilan'!H70,'Pelan Pengambilan'!J70,'Pelan Pengambilan'!L70,'Pelan Pengambilan'!N70,'Pelan Pengambilan'!P70,'Pelan Pengambilan'!R70,'Pelan Pengambilan'!T70,'Pelan Pengambilan'!V70,'Pelan Pengambilan'!X70,'Pelan Pengambilan'!Z70,'Pelan Pengambilan'!AB70,'Pelan Pengambilan'!AD70),"")</f>
        <v>0</v>
      </c>
      <c r="DL134" s="3">
        <f>IFERROR(MIN('Pelan Pengambilan'!I70,'Pelan Pengambilan'!K70,'Pelan Pengambilan'!M70,'Pelan Pengambilan'!O70,'Pelan Pengambilan'!Q70,'Pelan Pengambilan'!S70,'Pelan Pengambilan'!U70,'Pelan Pengambilan'!W70,'Pelan Pengambilan'!Y70,'Pelan Pengambilan'!AA70,'Pelan Pengambilan'!AC70,'Pelan Pengambilan'!AE70),"")</f>
        <v>0</v>
      </c>
      <c r="DM134" s="3">
        <f>IFERROR(MAX('Pelan Pengambilan'!I70,'Pelan Pengambilan'!K70,'Pelan Pengambilan'!M70,'Pelan Pengambilan'!O70,'Pelan Pengambilan'!Q70,'Pelan Pengambilan'!S70,'Pelan Pengambilan'!U70,'Pelan Pengambilan'!W70,'Pelan Pengambilan'!Y70,'Pelan Pengambilan'!AA70,'Pelan Pengambilan'!AC70,'Pelan Pengambilan'!AE70),"")</f>
        <v>0</v>
      </c>
    </row>
    <row r="135" ht="19.5" customHeight="1">
      <c r="A135" s="41"/>
      <c r="B135" s="41"/>
      <c r="C135" s="41"/>
      <c r="D135" s="155" t="s">
        <v>276</v>
      </c>
      <c r="E135" s="41"/>
      <c r="F135" s="41"/>
      <c r="G135" s="158"/>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c r="CR135" s="158"/>
      <c r="CS135" s="158"/>
      <c r="CT135" s="158"/>
      <c r="CU135" s="158"/>
      <c r="CV135" s="158"/>
      <c r="CW135" s="158"/>
      <c r="CX135" s="158"/>
      <c r="CY135" s="158"/>
      <c r="CZ135" s="158"/>
      <c r="DA135" s="158"/>
      <c r="DB135" s="158"/>
      <c r="DC135" s="158"/>
      <c r="DD135" s="158"/>
      <c r="DE135" s="158"/>
      <c r="DF135" s="158"/>
      <c r="DG135" s="158"/>
      <c r="DH135" s="41"/>
      <c r="DI135" s="41"/>
      <c r="DJ135" s="3"/>
      <c r="DK135" s="3"/>
      <c r="DL135" s="3"/>
      <c r="DM135" s="3"/>
    </row>
    <row r="136" ht="19.5" customHeight="1">
      <c r="A136" s="153" t="str">
        <f>'Pelan Pengambilan'!B71</f>
        <v/>
      </c>
      <c r="B136" s="154" t="str">
        <f>'Pelan Pengambilan'!C71</f>
        <v/>
      </c>
      <c r="C136" s="153" t="str">
        <f t="array" ref="C136">IFERROR(IF(INDEX(Strategi!$F$5:$F$134,MATCH(LARGE(Strategi!$K$5:$K$134,66),Strategi!$K$5:$K$134,0))="","","("&amp;COUNTIFS('Pelan Pengambilan'!$B$6:$B$71,'Pelan Pengambilan'!$B71,'Pelan Pengambilan'!$C$6:$C$71,'Pelan Pengambilan'!$C71)&amp;") "&amp;INDEX(Strategi!$F$5:$F$134,MATCH(LARGE(Strategi!$K$5:$K$134,66),Strategi!$K$5:$K$134,0))),"")</f>
        <v/>
      </c>
      <c r="D136" s="155" t="s">
        <v>275</v>
      </c>
      <c r="E136" s="156" t="str">
        <f>IFERROR(IF(COUNT('Pelan Pengambilan'!H71,'Pelan Pengambilan'!J71,'Pelan Pengambilan'!L71,'Pelan Pengambilan'!N71,'Pelan Pengambilan'!P71,'Pelan Pengambilan'!R71,'Pelan Pengambilan'!T71,'Pelan Pengambilan'!V71,'Pelan Pengambilan'!X71,'Pelan Pengambilan'!Z71,'Pelan Pengambilan'!AB71,'Pelan Pengambilan'!AD71)=0,"",COUNT('Pelan Pengambilan'!I71,'Pelan Pengambilan'!K71,'Pelan Pengambilan'!M71,'Pelan Pengambilan'!O71,'Pelan Pengambilan'!Q71,'Pelan Pengambilan'!S71,'Pelan Pengambilan'!U71,'Pelan Pengambilan'!W71,'Pelan Pengambilan'!Y71,'Pelan Pengambilan'!AA71,'Pelan Pengambilan'!AC71,'Pelan Pengambilan'!AE71)/COUNT('Pelan Pengambilan'!H71,'Pelan Pengambilan'!J71,'Pelan Pengambilan'!L71,'Pelan Pengambilan'!N71,'Pelan Pengambilan'!P71,'Pelan Pengambilan'!R71,'Pelan Pengambilan'!T71,'Pelan Pengambilan'!V71,'Pelan Pengambilan'!X71,'Pelan Pengambilan'!Z71,'Pelan Pengambilan'!AB71,'Pelan Pengambilan'!AD71)),"")</f>
        <v/>
      </c>
      <c r="F136" s="157" t="str">
        <f>IFERROR(IF('Pelan Pengambilan'!G71="","",'Pelan Pengambilan'!G71),"")</f>
        <v/>
      </c>
      <c r="G136" s="158"/>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c r="CR136" s="158"/>
      <c r="CS136" s="158"/>
      <c r="CT136" s="158"/>
      <c r="CU136" s="158"/>
      <c r="CV136" s="158"/>
      <c r="CW136" s="158"/>
      <c r="CX136" s="158"/>
      <c r="CY136" s="158"/>
      <c r="CZ136" s="158"/>
      <c r="DA136" s="158"/>
      <c r="DB136" s="158"/>
      <c r="DC136" s="158"/>
      <c r="DD136" s="158"/>
      <c r="DE136" s="158"/>
      <c r="DF136" s="158"/>
      <c r="DG136" s="158"/>
      <c r="DH136" s="154" t="str">
        <f>'Pelan Pengambilan'!AF71</f>
        <v/>
      </c>
      <c r="DI136" s="154"/>
      <c r="DJ136" s="3">
        <f>IFERROR(MIN('Pelan Pengambilan'!H71,'Pelan Pengambilan'!J71,'Pelan Pengambilan'!L71,'Pelan Pengambilan'!N71,'Pelan Pengambilan'!P71,'Pelan Pengambilan'!R71,'Pelan Pengambilan'!T71,'Pelan Pengambilan'!V71,'Pelan Pengambilan'!X71,'Pelan Pengambilan'!Z71,'Pelan Pengambilan'!AB71,'Pelan Pengambilan'!AD71),"")</f>
        <v>0</v>
      </c>
      <c r="DK136" s="3">
        <f>IFERROR(MAX('Pelan Pengambilan'!H71,'Pelan Pengambilan'!J71,'Pelan Pengambilan'!L71,'Pelan Pengambilan'!N71,'Pelan Pengambilan'!P71,'Pelan Pengambilan'!R71,'Pelan Pengambilan'!T71,'Pelan Pengambilan'!V71,'Pelan Pengambilan'!X71,'Pelan Pengambilan'!Z71,'Pelan Pengambilan'!AB71,'Pelan Pengambilan'!AD71),"")</f>
        <v>0</v>
      </c>
      <c r="DL136" s="3">
        <f>IFERROR(MIN('Pelan Pengambilan'!I71,'Pelan Pengambilan'!K71,'Pelan Pengambilan'!M71,'Pelan Pengambilan'!O71,'Pelan Pengambilan'!Q71,'Pelan Pengambilan'!S71,'Pelan Pengambilan'!U71,'Pelan Pengambilan'!W71,'Pelan Pengambilan'!Y71,'Pelan Pengambilan'!AA71,'Pelan Pengambilan'!AC71,'Pelan Pengambilan'!AE71),"")</f>
        <v>0</v>
      </c>
      <c r="DM136" s="3">
        <f>IFERROR(MAX('Pelan Pengambilan'!I71,'Pelan Pengambilan'!K71,'Pelan Pengambilan'!M71,'Pelan Pengambilan'!O71,'Pelan Pengambilan'!Q71,'Pelan Pengambilan'!S71,'Pelan Pengambilan'!U71,'Pelan Pengambilan'!W71,'Pelan Pengambilan'!Y71,'Pelan Pengambilan'!AA71,'Pelan Pengambilan'!AC71,'Pelan Pengambilan'!AE71),"")</f>
        <v>0</v>
      </c>
    </row>
    <row r="137" ht="19.5" customHeight="1">
      <c r="A137" s="41"/>
      <c r="B137" s="41"/>
      <c r="C137" s="41"/>
      <c r="D137" s="155" t="s">
        <v>276</v>
      </c>
      <c r="E137" s="41"/>
      <c r="F137" s="41"/>
      <c r="G137" s="158"/>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c r="CR137" s="158"/>
      <c r="CS137" s="158"/>
      <c r="CT137" s="158"/>
      <c r="CU137" s="158"/>
      <c r="CV137" s="158"/>
      <c r="CW137" s="158"/>
      <c r="CX137" s="158"/>
      <c r="CY137" s="158"/>
      <c r="CZ137" s="158"/>
      <c r="DA137" s="158"/>
      <c r="DB137" s="158"/>
      <c r="DC137" s="158"/>
      <c r="DD137" s="158"/>
      <c r="DE137" s="158"/>
      <c r="DF137" s="158"/>
      <c r="DG137" s="158"/>
      <c r="DH137" s="41"/>
      <c r="DI137" s="41"/>
      <c r="DJ137" s="3"/>
      <c r="DK137" s="3"/>
      <c r="DL137" s="3"/>
      <c r="DM137" s="3"/>
    </row>
    <row r="138" ht="19.5" customHeight="1">
      <c r="A138" s="153" t="str">
        <f>'Pelan Pengambilan'!B72</f>
        <v/>
      </c>
      <c r="B138" s="154" t="str">
        <f>'Pelan Pengambilan'!C72</f>
        <v/>
      </c>
      <c r="C138" s="153" t="str">
        <f t="array" ref="C138">IFERROR(IF(INDEX(Strategi!$F$5:$F$134,MATCH(LARGE(Strategi!$K$5:$K$134,67),Strategi!$K$5:$K$134,0))="","","("&amp;COUNTIFS('Pelan Pengambilan'!$B$6:$B$72,'Pelan Pengambilan'!$B72,'Pelan Pengambilan'!$C$6:$C$72,'Pelan Pengambilan'!$C72)&amp;") "&amp;INDEX(Strategi!$F$5:$F$134,MATCH(LARGE(Strategi!$K$5:$K$134,67),Strategi!$K$5:$K$134,0))),"")</f>
        <v/>
      </c>
      <c r="D138" s="155" t="s">
        <v>275</v>
      </c>
      <c r="E138" s="156" t="str">
        <f>IFERROR(IF(COUNT('Pelan Pengambilan'!H72,'Pelan Pengambilan'!J72,'Pelan Pengambilan'!L72,'Pelan Pengambilan'!N72,'Pelan Pengambilan'!P72,'Pelan Pengambilan'!R72,'Pelan Pengambilan'!T72,'Pelan Pengambilan'!V72,'Pelan Pengambilan'!X72,'Pelan Pengambilan'!Z72,'Pelan Pengambilan'!AB72,'Pelan Pengambilan'!AD72)=0,"",COUNT('Pelan Pengambilan'!I72,'Pelan Pengambilan'!K72,'Pelan Pengambilan'!M72,'Pelan Pengambilan'!O72,'Pelan Pengambilan'!Q72,'Pelan Pengambilan'!S72,'Pelan Pengambilan'!U72,'Pelan Pengambilan'!W72,'Pelan Pengambilan'!Y72,'Pelan Pengambilan'!AA72,'Pelan Pengambilan'!AC72,'Pelan Pengambilan'!AE72)/COUNT('Pelan Pengambilan'!H72,'Pelan Pengambilan'!J72,'Pelan Pengambilan'!L72,'Pelan Pengambilan'!N72,'Pelan Pengambilan'!P72,'Pelan Pengambilan'!R72,'Pelan Pengambilan'!T72,'Pelan Pengambilan'!V72,'Pelan Pengambilan'!X72,'Pelan Pengambilan'!Z72,'Pelan Pengambilan'!AB72,'Pelan Pengambilan'!AD72)),"")</f>
        <v/>
      </c>
      <c r="F138" s="157" t="str">
        <f>IFERROR(IF('Pelan Pengambilan'!G72="","",'Pelan Pengambilan'!G72),"")</f>
        <v/>
      </c>
      <c r="G138" s="158"/>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c r="CR138" s="158"/>
      <c r="CS138" s="158"/>
      <c r="CT138" s="158"/>
      <c r="CU138" s="158"/>
      <c r="CV138" s="158"/>
      <c r="CW138" s="158"/>
      <c r="CX138" s="158"/>
      <c r="CY138" s="158"/>
      <c r="CZ138" s="158"/>
      <c r="DA138" s="158"/>
      <c r="DB138" s="158"/>
      <c r="DC138" s="158"/>
      <c r="DD138" s="158"/>
      <c r="DE138" s="158"/>
      <c r="DF138" s="158"/>
      <c r="DG138" s="158"/>
      <c r="DH138" s="154" t="str">
        <f>'Pelan Pengambilan'!AF72</f>
        <v/>
      </c>
      <c r="DI138" s="154"/>
      <c r="DJ138" s="3">
        <f>IFERROR(MIN('Pelan Pengambilan'!H72,'Pelan Pengambilan'!J72,'Pelan Pengambilan'!L72,'Pelan Pengambilan'!N72,'Pelan Pengambilan'!P72,'Pelan Pengambilan'!R72,'Pelan Pengambilan'!T72,'Pelan Pengambilan'!V72,'Pelan Pengambilan'!X72,'Pelan Pengambilan'!Z72,'Pelan Pengambilan'!AB72,'Pelan Pengambilan'!AD72),"")</f>
        <v>0</v>
      </c>
      <c r="DK138" s="3">
        <f>IFERROR(MAX('Pelan Pengambilan'!H72,'Pelan Pengambilan'!J72,'Pelan Pengambilan'!L72,'Pelan Pengambilan'!N72,'Pelan Pengambilan'!P72,'Pelan Pengambilan'!R72,'Pelan Pengambilan'!T72,'Pelan Pengambilan'!V72,'Pelan Pengambilan'!X72,'Pelan Pengambilan'!Z72,'Pelan Pengambilan'!AB72,'Pelan Pengambilan'!AD72),"")</f>
        <v>0</v>
      </c>
      <c r="DL138" s="3">
        <f>IFERROR(MIN('Pelan Pengambilan'!I72,'Pelan Pengambilan'!K72,'Pelan Pengambilan'!M72,'Pelan Pengambilan'!O72,'Pelan Pengambilan'!Q72,'Pelan Pengambilan'!S72,'Pelan Pengambilan'!U72,'Pelan Pengambilan'!W72,'Pelan Pengambilan'!Y72,'Pelan Pengambilan'!AA72,'Pelan Pengambilan'!AC72,'Pelan Pengambilan'!AE72),"")</f>
        <v>0</v>
      </c>
      <c r="DM138" s="3">
        <f>IFERROR(MAX('Pelan Pengambilan'!I72,'Pelan Pengambilan'!K72,'Pelan Pengambilan'!M72,'Pelan Pengambilan'!O72,'Pelan Pengambilan'!Q72,'Pelan Pengambilan'!S72,'Pelan Pengambilan'!U72,'Pelan Pengambilan'!W72,'Pelan Pengambilan'!Y72,'Pelan Pengambilan'!AA72,'Pelan Pengambilan'!AC72,'Pelan Pengambilan'!AE72),"")</f>
        <v>0</v>
      </c>
    </row>
    <row r="139" ht="19.5" customHeight="1">
      <c r="A139" s="41"/>
      <c r="B139" s="41"/>
      <c r="C139" s="41"/>
      <c r="D139" s="155" t="s">
        <v>276</v>
      </c>
      <c r="E139" s="41"/>
      <c r="F139" s="41"/>
      <c r="G139" s="158"/>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c r="CR139" s="158"/>
      <c r="CS139" s="158"/>
      <c r="CT139" s="158"/>
      <c r="CU139" s="158"/>
      <c r="CV139" s="158"/>
      <c r="CW139" s="158"/>
      <c r="CX139" s="158"/>
      <c r="CY139" s="158"/>
      <c r="CZ139" s="158"/>
      <c r="DA139" s="158"/>
      <c r="DB139" s="158"/>
      <c r="DC139" s="158"/>
      <c r="DD139" s="158"/>
      <c r="DE139" s="158"/>
      <c r="DF139" s="158"/>
      <c r="DG139" s="158"/>
      <c r="DH139" s="41"/>
      <c r="DI139" s="41"/>
      <c r="DJ139" s="3"/>
      <c r="DK139" s="3"/>
      <c r="DL139" s="3"/>
      <c r="DM139" s="3"/>
    </row>
    <row r="140" ht="19.5" customHeight="1">
      <c r="A140" s="153" t="str">
        <f>'Pelan Pengambilan'!B73</f>
        <v/>
      </c>
      <c r="B140" s="154" t="str">
        <f>'Pelan Pengambilan'!C73</f>
        <v/>
      </c>
      <c r="C140" s="153" t="str">
        <f t="array" ref="C140">IFERROR(IF(INDEX(Strategi!$F$5:$F$134,MATCH(LARGE(Strategi!$K$5:$K$134,68),Strategi!$K$5:$K$134,0))="","","("&amp;COUNTIFS('Pelan Pengambilan'!$B$6:$B$73,'Pelan Pengambilan'!$B73,'Pelan Pengambilan'!$C$6:$C$73,'Pelan Pengambilan'!$C73)&amp;") "&amp;INDEX(Strategi!$F$5:$F$134,MATCH(LARGE(Strategi!$K$5:$K$134,68),Strategi!$K$5:$K$134,0))),"")</f>
        <v/>
      </c>
      <c r="D140" s="155" t="s">
        <v>275</v>
      </c>
      <c r="E140" s="156" t="str">
        <f>IFERROR(IF(COUNT('Pelan Pengambilan'!H73,'Pelan Pengambilan'!J73,'Pelan Pengambilan'!L73,'Pelan Pengambilan'!N73,'Pelan Pengambilan'!P73,'Pelan Pengambilan'!R73,'Pelan Pengambilan'!T73,'Pelan Pengambilan'!V73,'Pelan Pengambilan'!X73,'Pelan Pengambilan'!Z73,'Pelan Pengambilan'!AB73,'Pelan Pengambilan'!AD73)=0,"",COUNT('Pelan Pengambilan'!I73,'Pelan Pengambilan'!K73,'Pelan Pengambilan'!M73,'Pelan Pengambilan'!O73,'Pelan Pengambilan'!Q73,'Pelan Pengambilan'!S73,'Pelan Pengambilan'!U73,'Pelan Pengambilan'!W73,'Pelan Pengambilan'!Y73,'Pelan Pengambilan'!AA73,'Pelan Pengambilan'!AC73,'Pelan Pengambilan'!AE73)/COUNT('Pelan Pengambilan'!H73,'Pelan Pengambilan'!J73,'Pelan Pengambilan'!L73,'Pelan Pengambilan'!N73,'Pelan Pengambilan'!P73,'Pelan Pengambilan'!R73,'Pelan Pengambilan'!T73,'Pelan Pengambilan'!V73,'Pelan Pengambilan'!X73,'Pelan Pengambilan'!Z73,'Pelan Pengambilan'!AB73,'Pelan Pengambilan'!AD73)),"")</f>
        <v/>
      </c>
      <c r="F140" s="157" t="str">
        <f>IFERROR(IF('Pelan Pengambilan'!G73="","",'Pelan Pengambilan'!G73),"")</f>
        <v/>
      </c>
      <c r="G140" s="158"/>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c r="CR140" s="158"/>
      <c r="CS140" s="158"/>
      <c r="CT140" s="158"/>
      <c r="CU140" s="158"/>
      <c r="CV140" s="158"/>
      <c r="CW140" s="158"/>
      <c r="CX140" s="158"/>
      <c r="CY140" s="158"/>
      <c r="CZ140" s="158"/>
      <c r="DA140" s="158"/>
      <c r="DB140" s="158"/>
      <c r="DC140" s="158"/>
      <c r="DD140" s="158"/>
      <c r="DE140" s="158"/>
      <c r="DF140" s="158"/>
      <c r="DG140" s="158"/>
      <c r="DH140" s="154" t="str">
        <f>'Pelan Pengambilan'!AF73</f>
        <v/>
      </c>
      <c r="DI140" s="154"/>
      <c r="DJ140" s="3">
        <f>IFERROR(MIN('Pelan Pengambilan'!H73,'Pelan Pengambilan'!J73,'Pelan Pengambilan'!L73,'Pelan Pengambilan'!N73,'Pelan Pengambilan'!P73,'Pelan Pengambilan'!R73,'Pelan Pengambilan'!T73,'Pelan Pengambilan'!V73,'Pelan Pengambilan'!X73,'Pelan Pengambilan'!Z73,'Pelan Pengambilan'!AB73,'Pelan Pengambilan'!AD73),"")</f>
        <v>0</v>
      </c>
      <c r="DK140" s="3">
        <f>IFERROR(MAX('Pelan Pengambilan'!H73,'Pelan Pengambilan'!J73,'Pelan Pengambilan'!L73,'Pelan Pengambilan'!N73,'Pelan Pengambilan'!P73,'Pelan Pengambilan'!R73,'Pelan Pengambilan'!T73,'Pelan Pengambilan'!V73,'Pelan Pengambilan'!X73,'Pelan Pengambilan'!Z73,'Pelan Pengambilan'!AB73,'Pelan Pengambilan'!AD73),"")</f>
        <v>0</v>
      </c>
      <c r="DL140" s="3">
        <f>IFERROR(MIN('Pelan Pengambilan'!I73,'Pelan Pengambilan'!K73,'Pelan Pengambilan'!M73,'Pelan Pengambilan'!O73,'Pelan Pengambilan'!Q73,'Pelan Pengambilan'!S73,'Pelan Pengambilan'!U73,'Pelan Pengambilan'!W73,'Pelan Pengambilan'!Y73,'Pelan Pengambilan'!AA73,'Pelan Pengambilan'!AC73,'Pelan Pengambilan'!AE73),"")</f>
        <v>0</v>
      </c>
      <c r="DM140" s="3">
        <f>IFERROR(MAX('Pelan Pengambilan'!I73,'Pelan Pengambilan'!K73,'Pelan Pengambilan'!M73,'Pelan Pengambilan'!O73,'Pelan Pengambilan'!Q73,'Pelan Pengambilan'!S73,'Pelan Pengambilan'!U73,'Pelan Pengambilan'!W73,'Pelan Pengambilan'!Y73,'Pelan Pengambilan'!AA73,'Pelan Pengambilan'!AC73,'Pelan Pengambilan'!AE73),"")</f>
        <v>0</v>
      </c>
    </row>
    <row r="141" ht="19.5" customHeight="1">
      <c r="A141" s="41"/>
      <c r="B141" s="41"/>
      <c r="C141" s="41"/>
      <c r="D141" s="155" t="s">
        <v>276</v>
      </c>
      <c r="E141" s="41"/>
      <c r="F141" s="41"/>
      <c r="G141" s="158"/>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c r="CR141" s="158"/>
      <c r="CS141" s="158"/>
      <c r="CT141" s="158"/>
      <c r="CU141" s="158"/>
      <c r="CV141" s="158"/>
      <c r="CW141" s="158"/>
      <c r="CX141" s="158"/>
      <c r="CY141" s="158"/>
      <c r="CZ141" s="158"/>
      <c r="DA141" s="158"/>
      <c r="DB141" s="158"/>
      <c r="DC141" s="158"/>
      <c r="DD141" s="158"/>
      <c r="DE141" s="158"/>
      <c r="DF141" s="158"/>
      <c r="DG141" s="158"/>
      <c r="DH141" s="41"/>
      <c r="DI141" s="41"/>
      <c r="DJ141" s="3"/>
      <c r="DK141" s="3"/>
      <c r="DL141" s="3"/>
      <c r="DM141" s="3"/>
    </row>
    <row r="142" ht="19.5" customHeight="1">
      <c r="A142" s="153" t="str">
        <f>'Pelan Pengambilan'!B74</f>
        <v/>
      </c>
      <c r="B142" s="154" t="str">
        <f>'Pelan Pengambilan'!C74</f>
        <v/>
      </c>
      <c r="C142" s="153" t="str">
        <f t="array" ref="C142">IFERROR(IF(INDEX(Strategi!$F$5:$F$134,MATCH(LARGE(Strategi!$K$5:$K$134,69),Strategi!$K$5:$K$134,0))="","","("&amp;COUNTIFS('Pelan Pengambilan'!$B$6:$B$74,'Pelan Pengambilan'!$B74,'Pelan Pengambilan'!$C$6:$C$74,'Pelan Pengambilan'!$C74)&amp;") "&amp;INDEX(Strategi!$F$5:$F$134,MATCH(LARGE(Strategi!$K$5:$K$134,69),Strategi!$K$5:$K$134,0))),"")</f>
        <v/>
      </c>
      <c r="D142" s="155" t="s">
        <v>275</v>
      </c>
      <c r="E142" s="156" t="str">
        <f>IFERROR(IF(COUNT('Pelan Pengambilan'!H74,'Pelan Pengambilan'!J74,'Pelan Pengambilan'!L74,'Pelan Pengambilan'!N74,'Pelan Pengambilan'!P74,'Pelan Pengambilan'!R74,'Pelan Pengambilan'!T74,'Pelan Pengambilan'!V74,'Pelan Pengambilan'!X74,'Pelan Pengambilan'!Z74,'Pelan Pengambilan'!AB74,'Pelan Pengambilan'!AD74)=0,"",COUNT('Pelan Pengambilan'!I74,'Pelan Pengambilan'!K74,'Pelan Pengambilan'!M74,'Pelan Pengambilan'!O74,'Pelan Pengambilan'!Q74,'Pelan Pengambilan'!S74,'Pelan Pengambilan'!U74,'Pelan Pengambilan'!W74,'Pelan Pengambilan'!Y74,'Pelan Pengambilan'!AA74,'Pelan Pengambilan'!AC74,'Pelan Pengambilan'!AE74)/COUNT('Pelan Pengambilan'!H74,'Pelan Pengambilan'!J74,'Pelan Pengambilan'!L74,'Pelan Pengambilan'!N74,'Pelan Pengambilan'!P74,'Pelan Pengambilan'!R74,'Pelan Pengambilan'!T74,'Pelan Pengambilan'!V74,'Pelan Pengambilan'!X74,'Pelan Pengambilan'!Z74,'Pelan Pengambilan'!AB74,'Pelan Pengambilan'!AD74)),"")</f>
        <v/>
      </c>
      <c r="F142" s="157" t="str">
        <f>IFERROR(IF('Pelan Pengambilan'!G74="","",'Pelan Pengambilan'!G74),"")</f>
        <v/>
      </c>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c r="CR142" s="158"/>
      <c r="CS142" s="158"/>
      <c r="CT142" s="158"/>
      <c r="CU142" s="158"/>
      <c r="CV142" s="158"/>
      <c r="CW142" s="158"/>
      <c r="CX142" s="158"/>
      <c r="CY142" s="158"/>
      <c r="CZ142" s="158"/>
      <c r="DA142" s="158"/>
      <c r="DB142" s="158"/>
      <c r="DC142" s="158"/>
      <c r="DD142" s="158"/>
      <c r="DE142" s="158"/>
      <c r="DF142" s="158"/>
      <c r="DG142" s="158"/>
      <c r="DH142" s="154" t="str">
        <f>'Pelan Pengambilan'!AF74</f>
        <v/>
      </c>
      <c r="DI142" s="154"/>
      <c r="DJ142" s="3">
        <f>IFERROR(MIN('Pelan Pengambilan'!H74,'Pelan Pengambilan'!J74,'Pelan Pengambilan'!L74,'Pelan Pengambilan'!N74,'Pelan Pengambilan'!P74,'Pelan Pengambilan'!R74,'Pelan Pengambilan'!T74,'Pelan Pengambilan'!V74,'Pelan Pengambilan'!X74,'Pelan Pengambilan'!Z74,'Pelan Pengambilan'!AB74,'Pelan Pengambilan'!AD74),"")</f>
        <v>0</v>
      </c>
      <c r="DK142" s="3">
        <f>IFERROR(MAX('Pelan Pengambilan'!H74,'Pelan Pengambilan'!J74,'Pelan Pengambilan'!L74,'Pelan Pengambilan'!N74,'Pelan Pengambilan'!P74,'Pelan Pengambilan'!R74,'Pelan Pengambilan'!T74,'Pelan Pengambilan'!V74,'Pelan Pengambilan'!X74,'Pelan Pengambilan'!Z74,'Pelan Pengambilan'!AB74,'Pelan Pengambilan'!AD74),"")</f>
        <v>0</v>
      </c>
      <c r="DL142" s="3">
        <f>IFERROR(MIN('Pelan Pengambilan'!I74,'Pelan Pengambilan'!K74,'Pelan Pengambilan'!M74,'Pelan Pengambilan'!O74,'Pelan Pengambilan'!Q74,'Pelan Pengambilan'!S74,'Pelan Pengambilan'!U74,'Pelan Pengambilan'!W74,'Pelan Pengambilan'!Y74,'Pelan Pengambilan'!AA74,'Pelan Pengambilan'!AC74,'Pelan Pengambilan'!AE74),"")</f>
        <v>0</v>
      </c>
      <c r="DM142" s="3">
        <f>IFERROR(MAX('Pelan Pengambilan'!I74,'Pelan Pengambilan'!K74,'Pelan Pengambilan'!M74,'Pelan Pengambilan'!O74,'Pelan Pengambilan'!Q74,'Pelan Pengambilan'!S74,'Pelan Pengambilan'!U74,'Pelan Pengambilan'!W74,'Pelan Pengambilan'!Y74,'Pelan Pengambilan'!AA74,'Pelan Pengambilan'!AC74,'Pelan Pengambilan'!AE74),"")</f>
        <v>0</v>
      </c>
    </row>
    <row r="143" ht="19.5" customHeight="1">
      <c r="A143" s="41"/>
      <c r="B143" s="41"/>
      <c r="C143" s="41"/>
      <c r="D143" s="155" t="s">
        <v>276</v>
      </c>
      <c r="E143" s="41"/>
      <c r="F143" s="41"/>
      <c r="G143" s="158"/>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c r="CR143" s="158"/>
      <c r="CS143" s="158"/>
      <c r="CT143" s="158"/>
      <c r="CU143" s="158"/>
      <c r="CV143" s="158"/>
      <c r="CW143" s="158"/>
      <c r="CX143" s="158"/>
      <c r="CY143" s="158"/>
      <c r="CZ143" s="158"/>
      <c r="DA143" s="158"/>
      <c r="DB143" s="158"/>
      <c r="DC143" s="158"/>
      <c r="DD143" s="158"/>
      <c r="DE143" s="158"/>
      <c r="DF143" s="158"/>
      <c r="DG143" s="158"/>
      <c r="DH143" s="41"/>
      <c r="DI143" s="41"/>
      <c r="DJ143" s="3"/>
      <c r="DK143" s="3"/>
      <c r="DL143" s="3"/>
      <c r="DM143" s="3"/>
    </row>
    <row r="144" ht="19.5" customHeight="1">
      <c r="A144" s="153" t="str">
        <f>'Pelan Pengambilan'!B75</f>
        <v/>
      </c>
      <c r="B144" s="154" t="str">
        <f>'Pelan Pengambilan'!C75</f>
        <v/>
      </c>
      <c r="C144" s="153" t="str">
        <f t="array" ref="C144">IFERROR(IF(INDEX(Strategi!$F$5:$F$134,MATCH(LARGE(Strategi!$K$5:$K$134,70),Strategi!$K$5:$K$134,0))="","","("&amp;COUNTIFS('Pelan Pengambilan'!$B$6:$B$75,'Pelan Pengambilan'!$B75,'Pelan Pengambilan'!$C$6:$C$75,'Pelan Pengambilan'!$C75)&amp;") "&amp;INDEX(Strategi!$F$5:$F$134,MATCH(LARGE(Strategi!$K$5:$K$134,70),Strategi!$K$5:$K$134,0))),"")</f>
        <v/>
      </c>
      <c r="D144" s="155" t="s">
        <v>275</v>
      </c>
      <c r="E144" s="156" t="str">
        <f>IFERROR(IF(COUNT('Pelan Pengambilan'!H75,'Pelan Pengambilan'!J75,'Pelan Pengambilan'!L75,'Pelan Pengambilan'!N75,'Pelan Pengambilan'!P75,'Pelan Pengambilan'!R75,'Pelan Pengambilan'!T75,'Pelan Pengambilan'!V75,'Pelan Pengambilan'!X75,'Pelan Pengambilan'!Z75,'Pelan Pengambilan'!AB75,'Pelan Pengambilan'!AD75)=0,"",COUNT('Pelan Pengambilan'!I75,'Pelan Pengambilan'!K75,'Pelan Pengambilan'!M75,'Pelan Pengambilan'!O75,'Pelan Pengambilan'!Q75,'Pelan Pengambilan'!S75,'Pelan Pengambilan'!U75,'Pelan Pengambilan'!W75,'Pelan Pengambilan'!Y75,'Pelan Pengambilan'!AA75,'Pelan Pengambilan'!AC75,'Pelan Pengambilan'!AE75)/COUNT('Pelan Pengambilan'!H75,'Pelan Pengambilan'!J75,'Pelan Pengambilan'!L75,'Pelan Pengambilan'!N75,'Pelan Pengambilan'!P75,'Pelan Pengambilan'!R75,'Pelan Pengambilan'!T75,'Pelan Pengambilan'!V75,'Pelan Pengambilan'!X75,'Pelan Pengambilan'!Z75,'Pelan Pengambilan'!AB75,'Pelan Pengambilan'!AD75)),"")</f>
        <v/>
      </c>
      <c r="F144" s="157" t="str">
        <f>IFERROR(IF('Pelan Pengambilan'!G75="","",'Pelan Pengambilan'!G75),"")</f>
        <v/>
      </c>
      <c r="G144" s="158"/>
      <c r="H144" s="158"/>
      <c r="I144" s="158"/>
      <c r="J144" s="158"/>
      <c r="K144" s="158"/>
      <c r="L144" s="158"/>
      <c r="M144" s="158"/>
      <c r="N144" s="158"/>
      <c r="O144" s="158"/>
      <c r="P144" s="158"/>
      <c r="Q144" s="158"/>
      <c r="R144" s="158"/>
      <c r="S144" s="158"/>
      <c r="T144" s="158"/>
      <c r="U144" s="158"/>
      <c r="V144" s="158"/>
      <c r="W144" s="158"/>
      <c r="X144" s="158"/>
      <c r="Y144" s="158"/>
      <c r="Z144" s="158"/>
      <c r="AA144" s="158"/>
      <c r="AB144" s="158"/>
      <c r="AC144" s="158"/>
      <c r="AD144" s="158"/>
      <c r="AE144" s="158"/>
      <c r="AF144" s="158"/>
      <c r="AG144" s="158"/>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c r="CD144" s="158"/>
      <c r="CE144" s="158"/>
      <c r="CF144" s="158"/>
      <c r="CG144" s="158"/>
      <c r="CH144" s="158"/>
      <c r="CI144" s="158"/>
      <c r="CJ144" s="158"/>
      <c r="CK144" s="158"/>
      <c r="CL144" s="158"/>
      <c r="CM144" s="158"/>
      <c r="CN144" s="158"/>
      <c r="CO144" s="158"/>
      <c r="CP144" s="158"/>
      <c r="CQ144" s="158"/>
      <c r="CR144" s="158"/>
      <c r="CS144" s="158"/>
      <c r="CT144" s="158"/>
      <c r="CU144" s="158"/>
      <c r="CV144" s="158"/>
      <c r="CW144" s="158"/>
      <c r="CX144" s="158"/>
      <c r="CY144" s="158"/>
      <c r="CZ144" s="158"/>
      <c r="DA144" s="158"/>
      <c r="DB144" s="158"/>
      <c r="DC144" s="158"/>
      <c r="DD144" s="158"/>
      <c r="DE144" s="158"/>
      <c r="DF144" s="158"/>
      <c r="DG144" s="158"/>
      <c r="DH144" s="154" t="str">
        <f>'Pelan Pengambilan'!AF75</f>
        <v/>
      </c>
      <c r="DI144" s="154"/>
      <c r="DJ144" s="3">
        <f>IFERROR(MIN('Pelan Pengambilan'!H75,'Pelan Pengambilan'!J75,'Pelan Pengambilan'!L75,'Pelan Pengambilan'!N75,'Pelan Pengambilan'!P75,'Pelan Pengambilan'!R75,'Pelan Pengambilan'!T75,'Pelan Pengambilan'!V75,'Pelan Pengambilan'!X75,'Pelan Pengambilan'!Z75,'Pelan Pengambilan'!AB75,'Pelan Pengambilan'!AD75),"")</f>
        <v>0</v>
      </c>
      <c r="DK144" s="3">
        <f>IFERROR(MAX('Pelan Pengambilan'!H75,'Pelan Pengambilan'!J75,'Pelan Pengambilan'!L75,'Pelan Pengambilan'!N75,'Pelan Pengambilan'!P75,'Pelan Pengambilan'!R75,'Pelan Pengambilan'!T75,'Pelan Pengambilan'!V75,'Pelan Pengambilan'!X75,'Pelan Pengambilan'!Z75,'Pelan Pengambilan'!AB75,'Pelan Pengambilan'!AD75),"")</f>
        <v>0</v>
      </c>
      <c r="DL144" s="3">
        <f>IFERROR(MIN('Pelan Pengambilan'!I75,'Pelan Pengambilan'!K75,'Pelan Pengambilan'!M75,'Pelan Pengambilan'!O75,'Pelan Pengambilan'!Q75,'Pelan Pengambilan'!S75,'Pelan Pengambilan'!U75,'Pelan Pengambilan'!W75,'Pelan Pengambilan'!Y75,'Pelan Pengambilan'!AA75,'Pelan Pengambilan'!AC75,'Pelan Pengambilan'!AE75),"")</f>
        <v>0</v>
      </c>
      <c r="DM144" s="3">
        <f>IFERROR(MAX('Pelan Pengambilan'!I75,'Pelan Pengambilan'!K75,'Pelan Pengambilan'!M75,'Pelan Pengambilan'!O75,'Pelan Pengambilan'!Q75,'Pelan Pengambilan'!S75,'Pelan Pengambilan'!U75,'Pelan Pengambilan'!W75,'Pelan Pengambilan'!Y75,'Pelan Pengambilan'!AA75,'Pelan Pengambilan'!AC75,'Pelan Pengambilan'!AE75),"")</f>
        <v>0</v>
      </c>
    </row>
    <row r="145" ht="19.5" customHeight="1">
      <c r="A145" s="41"/>
      <c r="B145" s="41"/>
      <c r="C145" s="41"/>
      <c r="D145" s="155" t="s">
        <v>276</v>
      </c>
      <c r="E145" s="41"/>
      <c r="F145" s="41"/>
      <c r="G145" s="158"/>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c r="CS145" s="158"/>
      <c r="CT145" s="158"/>
      <c r="CU145" s="158"/>
      <c r="CV145" s="158"/>
      <c r="CW145" s="158"/>
      <c r="CX145" s="158"/>
      <c r="CY145" s="158"/>
      <c r="CZ145" s="158"/>
      <c r="DA145" s="158"/>
      <c r="DB145" s="158"/>
      <c r="DC145" s="158"/>
      <c r="DD145" s="158"/>
      <c r="DE145" s="158"/>
      <c r="DF145" s="158"/>
      <c r="DG145" s="158"/>
      <c r="DH145" s="41"/>
      <c r="DI145" s="41"/>
      <c r="DJ145" s="3"/>
      <c r="DK145" s="3"/>
      <c r="DL145" s="3"/>
      <c r="DM145" s="3"/>
    </row>
    <row r="146" ht="19.5" customHeight="1">
      <c r="A146" s="153" t="str">
        <f>'Pelan Pengambilan'!B76</f>
        <v/>
      </c>
      <c r="B146" s="154" t="str">
        <f>'Pelan Pengambilan'!C76</f>
        <v/>
      </c>
      <c r="C146" s="153" t="str">
        <f t="array" ref="C146">IFERROR(IF(INDEX(Strategi!$F$5:$F$134,MATCH(LARGE(Strategi!$K$5:$K$134,71),Strategi!$K$5:$K$134,0))="","","("&amp;COUNTIFS('Pelan Pengambilan'!$B$6:$B$76,'Pelan Pengambilan'!$B76,'Pelan Pengambilan'!$C$6:$C$76,'Pelan Pengambilan'!$C76)&amp;") "&amp;INDEX(Strategi!$F$5:$F$134,MATCH(LARGE(Strategi!$K$5:$K$134,71),Strategi!$K$5:$K$134,0))),"")</f>
        <v/>
      </c>
      <c r="D146" s="155" t="s">
        <v>275</v>
      </c>
      <c r="E146" s="156" t="str">
        <f>IFERROR(IF(COUNT('Pelan Pengambilan'!H76,'Pelan Pengambilan'!J76,'Pelan Pengambilan'!L76,'Pelan Pengambilan'!N76,'Pelan Pengambilan'!P76,'Pelan Pengambilan'!R76,'Pelan Pengambilan'!T76,'Pelan Pengambilan'!V76,'Pelan Pengambilan'!X76,'Pelan Pengambilan'!Z76,'Pelan Pengambilan'!AB76,'Pelan Pengambilan'!AD76)=0,"",COUNT('Pelan Pengambilan'!I76,'Pelan Pengambilan'!K76,'Pelan Pengambilan'!M76,'Pelan Pengambilan'!O76,'Pelan Pengambilan'!Q76,'Pelan Pengambilan'!S76,'Pelan Pengambilan'!U76,'Pelan Pengambilan'!W76,'Pelan Pengambilan'!Y76,'Pelan Pengambilan'!AA76,'Pelan Pengambilan'!AC76,'Pelan Pengambilan'!AE76)/COUNT('Pelan Pengambilan'!H76,'Pelan Pengambilan'!J76,'Pelan Pengambilan'!L76,'Pelan Pengambilan'!N76,'Pelan Pengambilan'!P76,'Pelan Pengambilan'!R76,'Pelan Pengambilan'!T76,'Pelan Pengambilan'!V76,'Pelan Pengambilan'!X76,'Pelan Pengambilan'!Z76,'Pelan Pengambilan'!AB76,'Pelan Pengambilan'!AD76)),"")</f>
        <v/>
      </c>
      <c r="F146" s="157" t="str">
        <f>IFERROR(IF('Pelan Pengambilan'!G76="","",'Pelan Pengambilan'!G76),"")</f>
        <v/>
      </c>
      <c r="G146" s="158"/>
      <c r="H146" s="158"/>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c r="CS146" s="158"/>
      <c r="CT146" s="158"/>
      <c r="CU146" s="158"/>
      <c r="CV146" s="158"/>
      <c r="CW146" s="158"/>
      <c r="CX146" s="158"/>
      <c r="CY146" s="158"/>
      <c r="CZ146" s="158"/>
      <c r="DA146" s="158"/>
      <c r="DB146" s="158"/>
      <c r="DC146" s="158"/>
      <c r="DD146" s="158"/>
      <c r="DE146" s="158"/>
      <c r="DF146" s="158"/>
      <c r="DG146" s="158"/>
      <c r="DH146" s="154" t="str">
        <f>'Pelan Pengambilan'!AF76</f>
        <v/>
      </c>
      <c r="DI146" s="154"/>
      <c r="DJ146" s="3">
        <f>IFERROR(MIN('Pelan Pengambilan'!H76,'Pelan Pengambilan'!J76,'Pelan Pengambilan'!L76,'Pelan Pengambilan'!N76,'Pelan Pengambilan'!P76,'Pelan Pengambilan'!R76,'Pelan Pengambilan'!T76,'Pelan Pengambilan'!V76,'Pelan Pengambilan'!X76,'Pelan Pengambilan'!Z76,'Pelan Pengambilan'!AB76,'Pelan Pengambilan'!AD76),"")</f>
        <v>0</v>
      </c>
      <c r="DK146" s="3">
        <f>IFERROR(MAX('Pelan Pengambilan'!H76,'Pelan Pengambilan'!J76,'Pelan Pengambilan'!L76,'Pelan Pengambilan'!N76,'Pelan Pengambilan'!P76,'Pelan Pengambilan'!R76,'Pelan Pengambilan'!T76,'Pelan Pengambilan'!V76,'Pelan Pengambilan'!X76,'Pelan Pengambilan'!Z76,'Pelan Pengambilan'!AB76,'Pelan Pengambilan'!AD76),"")</f>
        <v>0</v>
      </c>
      <c r="DL146" s="3">
        <f>IFERROR(MIN('Pelan Pengambilan'!I76,'Pelan Pengambilan'!K76,'Pelan Pengambilan'!M76,'Pelan Pengambilan'!O76,'Pelan Pengambilan'!Q76,'Pelan Pengambilan'!S76,'Pelan Pengambilan'!U76,'Pelan Pengambilan'!W76,'Pelan Pengambilan'!Y76,'Pelan Pengambilan'!AA76,'Pelan Pengambilan'!AC76,'Pelan Pengambilan'!AE76),"")</f>
        <v>0</v>
      </c>
      <c r="DM146" s="3">
        <f>IFERROR(MAX('Pelan Pengambilan'!I76,'Pelan Pengambilan'!K76,'Pelan Pengambilan'!M76,'Pelan Pengambilan'!O76,'Pelan Pengambilan'!Q76,'Pelan Pengambilan'!S76,'Pelan Pengambilan'!U76,'Pelan Pengambilan'!W76,'Pelan Pengambilan'!Y76,'Pelan Pengambilan'!AA76,'Pelan Pengambilan'!AC76,'Pelan Pengambilan'!AE76),"")</f>
        <v>0</v>
      </c>
    </row>
    <row r="147" ht="19.5" customHeight="1">
      <c r="A147" s="41"/>
      <c r="B147" s="41"/>
      <c r="C147" s="41"/>
      <c r="D147" s="155" t="s">
        <v>276</v>
      </c>
      <c r="E147" s="41"/>
      <c r="F147" s="41"/>
      <c r="G147" s="158"/>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c r="CS147" s="158"/>
      <c r="CT147" s="158"/>
      <c r="CU147" s="158"/>
      <c r="CV147" s="158"/>
      <c r="CW147" s="158"/>
      <c r="CX147" s="158"/>
      <c r="CY147" s="158"/>
      <c r="CZ147" s="158"/>
      <c r="DA147" s="158"/>
      <c r="DB147" s="158"/>
      <c r="DC147" s="158"/>
      <c r="DD147" s="158"/>
      <c r="DE147" s="158"/>
      <c r="DF147" s="158"/>
      <c r="DG147" s="158"/>
      <c r="DH147" s="41"/>
      <c r="DI147" s="41"/>
      <c r="DJ147" s="3"/>
      <c r="DK147" s="3"/>
      <c r="DL147" s="3"/>
      <c r="DM147" s="3"/>
    </row>
    <row r="148" ht="19.5" customHeight="1">
      <c r="A148" s="153" t="str">
        <f>'Pelan Pengambilan'!B77</f>
        <v/>
      </c>
      <c r="B148" s="154" t="str">
        <f>'Pelan Pengambilan'!C77</f>
        <v/>
      </c>
      <c r="C148" s="153" t="str">
        <f t="array" ref="C148">IFERROR(IF(INDEX(Strategi!$F$5:$F$134,MATCH(LARGE(Strategi!$K$5:$K$134,72),Strategi!$K$5:$K$134,0))="","","("&amp;COUNTIFS('Pelan Pengambilan'!$B$6:$B$77,'Pelan Pengambilan'!$B77,'Pelan Pengambilan'!$C$6:$C$77,'Pelan Pengambilan'!$C77)&amp;") "&amp;INDEX(Strategi!$F$5:$F$134,MATCH(LARGE(Strategi!$K$5:$K$134,72),Strategi!$K$5:$K$134,0))),"")</f>
        <v/>
      </c>
      <c r="D148" s="155" t="s">
        <v>275</v>
      </c>
      <c r="E148" s="156" t="str">
        <f>IFERROR(IF(COUNT('Pelan Pengambilan'!H77,'Pelan Pengambilan'!J77,'Pelan Pengambilan'!L77,'Pelan Pengambilan'!N77,'Pelan Pengambilan'!P77,'Pelan Pengambilan'!R77,'Pelan Pengambilan'!T77,'Pelan Pengambilan'!V77,'Pelan Pengambilan'!X77,'Pelan Pengambilan'!Z77,'Pelan Pengambilan'!AB77,'Pelan Pengambilan'!AD77)=0,"",COUNT('Pelan Pengambilan'!I77,'Pelan Pengambilan'!K77,'Pelan Pengambilan'!M77,'Pelan Pengambilan'!O77,'Pelan Pengambilan'!Q77,'Pelan Pengambilan'!S77,'Pelan Pengambilan'!U77,'Pelan Pengambilan'!W77,'Pelan Pengambilan'!Y77,'Pelan Pengambilan'!AA77,'Pelan Pengambilan'!AC77,'Pelan Pengambilan'!AE77)/COUNT('Pelan Pengambilan'!H77,'Pelan Pengambilan'!J77,'Pelan Pengambilan'!L77,'Pelan Pengambilan'!N77,'Pelan Pengambilan'!P77,'Pelan Pengambilan'!R77,'Pelan Pengambilan'!T77,'Pelan Pengambilan'!V77,'Pelan Pengambilan'!X77,'Pelan Pengambilan'!Z77,'Pelan Pengambilan'!AB77,'Pelan Pengambilan'!AD77)),"")</f>
        <v/>
      </c>
      <c r="F148" s="157" t="str">
        <f>IFERROR(IF('Pelan Pengambilan'!G77="","",'Pelan Pengambilan'!G77),"")</f>
        <v/>
      </c>
      <c r="G148" s="158"/>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c r="CS148" s="158"/>
      <c r="CT148" s="158"/>
      <c r="CU148" s="158"/>
      <c r="CV148" s="158"/>
      <c r="CW148" s="158"/>
      <c r="CX148" s="158"/>
      <c r="CY148" s="158"/>
      <c r="CZ148" s="158"/>
      <c r="DA148" s="158"/>
      <c r="DB148" s="158"/>
      <c r="DC148" s="158"/>
      <c r="DD148" s="158"/>
      <c r="DE148" s="158"/>
      <c r="DF148" s="158"/>
      <c r="DG148" s="158"/>
      <c r="DH148" s="154" t="str">
        <f>'Pelan Pengambilan'!AF77</f>
        <v/>
      </c>
      <c r="DI148" s="154"/>
      <c r="DJ148" s="3">
        <f>IFERROR(MIN('Pelan Pengambilan'!H77,'Pelan Pengambilan'!J77,'Pelan Pengambilan'!L77,'Pelan Pengambilan'!N77,'Pelan Pengambilan'!P77,'Pelan Pengambilan'!R77,'Pelan Pengambilan'!T77,'Pelan Pengambilan'!V77,'Pelan Pengambilan'!X77,'Pelan Pengambilan'!Z77,'Pelan Pengambilan'!AB77,'Pelan Pengambilan'!AD77),"")</f>
        <v>0</v>
      </c>
      <c r="DK148" s="3">
        <f>IFERROR(MAX('Pelan Pengambilan'!H77,'Pelan Pengambilan'!J77,'Pelan Pengambilan'!L77,'Pelan Pengambilan'!N77,'Pelan Pengambilan'!P77,'Pelan Pengambilan'!R77,'Pelan Pengambilan'!T77,'Pelan Pengambilan'!V77,'Pelan Pengambilan'!X77,'Pelan Pengambilan'!Z77,'Pelan Pengambilan'!AB77,'Pelan Pengambilan'!AD77),"")</f>
        <v>0</v>
      </c>
      <c r="DL148" s="3">
        <f>IFERROR(MIN('Pelan Pengambilan'!I77,'Pelan Pengambilan'!K77,'Pelan Pengambilan'!M77,'Pelan Pengambilan'!O77,'Pelan Pengambilan'!Q77,'Pelan Pengambilan'!S77,'Pelan Pengambilan'!U77,'Pelan Pengambilan'!W77,'Pelan Pengambilan'!Y77,'Pelan Pengambilan'!AA77,'Pelan Pengambilan'!AC77,'Pelan Pengambilan'!AE77),"")</f>
        <v>0</v>
      </c>
      <c r="DM148" s="3">
        <f>IFERROR(MAX('Pelan Pengambilan'!I77,'Pelan Pengambilan'!K77,'Pelan Pengambilan'!M77,'Pelan Pengambilan'!O77,'Pelan Pengambilan'!Q77,'Pelan Pengambilan'!S77,'Pelan Pengambilan'!U77,'Pelan Pengambilan'!W77,'Pelan Pengambilan'!Y77,'Pelan Pengambilan'!AA77,'Pelan Pengambilan'!AC77,'Pelan Pengambilan'!AE77),"")</f>
        <v>0</v>
      </c>
    </row>
    <row r="149" ht="19.5" customHeight="1">
      <c r="A149" s="41"/>
      <c r="B149" s="41"/>
      <c r="C149" s="41"/>
      <c r="D149" s="155" t="s">
        <v>276</v>
      </c>
      <c r="E149" s="41"/>
      <c r="F149" s="41"/>
      <c r="G149" s="158"/>
      <c r="H149" s="158"/>
      <c r="I149" s="158"/>
      <c r="J149" s="158"/>
      <c r="K149" s="158"/>
      <c r="L149" s="158"/>
      <c r="M149" s="158"/>
      <c r="N149" s="158"/>
      <c r="O149" s="158"/>
      <c r="P149" s="158"/>
      <c r="Q149" s="158"/>
      <c r="R149" s="158"/>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58"/>
      <c r="CS149" s="158"/>
      <c r="CT149" s="158"/>
      <c r="CU149" s="158"/>
      <c r="CV149" s="158"/>
      <c r="CW149" s="158"/>
      <c r="CX149" s="158"/>
      <c r="CY149" s="158"/>
      <c r="CZ149" s="158"/>
      <c r="DA149" s="158"/>
      <c r="DB149" s="158"/>
      <c r="DC149" s="158"/>
      <c r="DD149" s="158"/>
      <c r="DE149" s="158"/>
      <c r="DF149" s="158"/>
      <c r="DG149" s="158"/>
      <c r="DH149" s="41"/>
      <c r="DI149" s="41"/>
      <c r="DJ149" s="3"/>
      <c r="DK149" s="3"/>
      <c r="DL149" s="3"/>
      <c r="DM149" s="3"/>
    </row>
    <row r="150" ht="19.5" customHeight="1">
      <c r="A150" s="153" t="str">
        <f>'Pelan Pengambilan'!B78</f>
        <v/>
      </c>
      <c r="B150" s="154" t="str">
        <f>'Pelan Pengambilan'!C78</f>
        <v/>
      </c>
      <c r="C150" s="153" t="str">
        <f t="array" ref="C150">IFERROR(IF(INDEX(Strategi!$F$5:$F$134,MATCH(LARGE(Strategi!$K$5:$K$134,73),Strategi!$K$5:$K$134,0))="","","("&amp;COUNTIFS('Pelan Pengambilan'!$B$6:$B$78,'Pelan Pengambilan'!$B78,'Pelan Pengambilan'!$C$6:$C$78,'Pelan Pengambilan'!$C78)&amp;") "&amp;INDEX(Strategi!$F$5:$F$134,MATCH(LARGE(Strategi!$K$5:$K$134,73),Strategi!$K$5:$K$134,0))),"")</f>
        <v/>
      </c>
      <c r="D150" s="155" t="s">
        <v>275</v>
      </c>
      <c r="E150" s="156" t="str">
        <f>IFERROR(IF(COUNT('Pelan Pengambilan'!H78,'Pelan Pengambilan'!J78,'Pelan Pengambilan'!L78,'Pelan Pengambilan'!N78,'Pelan Pengambilan'!P78,'Pelan Pengambilan'!R78,'Pelan Pengambilan'!T78,'Pelan Pengambilan'!V78,'Pelan Pengambilan'!X78,'Pelan Pengambilan'!Z78,'Pelan Pengambilan'!AB78,'Pelan Pengambilan'!AD78)=0,"",COUNT('Pelan Pengambilan'!I78,'Pelan Pengambilan'!K78,'Pelan Pengambilan'!M78,'Pelan Pengambilan'!O78,'Pelan Pengambilan'!Q78,'Pelan Pengambilan'!S78,'Pelan Pengambilan'!U78,'Pelan Pengambilan'!W78,'Pelan Pengambilan'!Y78,'Pelan Pengambilan'!AA78,'Pelan Pengambilan'!AC78,'Pelan Pengambilan'!AE78)/COUNT('Pelan Pengambilan'!H78,'Pelan Pengambilan'!J78,'Pelan Pengambilan'!L78,'Pelan Pengambilan'!N78,'Pelan Pengambilan'!P78,'Pelan Pengambilan'!R78,'Pelan Pengambilan'!T78,'Pelan Pengambilan'!V78,'Pelan Pengambilan'!X78,'Pelan Pengambilan'!Z78,'Pelan Pengambilan'!AB78,'Pelan Pengambilan'!AD78)),"")</f>
        <v/>
      </c>
      <c r="F150" s="157" t="str">
        <f>IFERROR(IF('Pelan Pengambilan'!G78="","",'Pelan Pengambilan'!G78),"")</f>
        <v/>
      </c>
      <c r="G150" s="158"/>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c r="CS150" s="158"/>
      <c r="CT150" s="158"/>
      <c r="CU150" s="158"/>
      <c r="CV150" s="158"/>
      <c r="CW150" s="158"/>
      <c r="CX150" s="158"/>
      <c r="CY150" s="158"/>
      <c r="CZ150" s="158"/>
      <c r="DA150" s="158"/>
      <c r="DB150" s="158"/>
      <c r="DC150" s="158"/>
      <c r="DD150" s="158"/>
      <c r="DE150" s="158"/>
      <c r="DF150" s="158"/>
      <c r="DG150" s="158"/>
      <c r="DH150" s="154" t="str">
        <f>'Pelan Pengambilan'!AF78</f>
        <v/>
      </c>
      <c r="DI150" s="154"/>
      <c r="DJ150" s="3">
        <f>IFERROR(MIN('Pelan Pengambilan'!H78,'Pelan Pengambilan'!J78,'Pelan Pengambilan'!L78,'Pelan Pengambilan'!N78,'Pelan Pengambilan'!P78,'Pelan Pengambilan'!R78,'Pelan Pengambilan'!T78,'Pelan Pengambilan'!V78,'Pelan Pengambilan'!X78,'Pelan Pengambilan'!Z78,'Pelan Pengambilan'!AB78,'Pelan Pengambilan'!AD78),"")</f>
        <v>0</v>
      </c>
      <c r="DK150" s="3">
        <f>IFERROR(MAX('Pelan Pengambilan'!H78,'Pelan Pengambilan'!J78,'Pelan Pengambilan'!L78,'Pelan Pengambilan'!N78,'Pelan Pengambilan'!P78,'Pelan Pengambilan'!R78,'Pelan Pengambilan'!T78,'Pelan Pengambilan'!V78,'Pelan Pengambilan'!X78,'Pelan Pengambilan'!Z78,'Pelan Pengambilan'!AB78,'Pelan Pengambilan'!AD78),"")</f>
        <v>0</v>
      </c>
      <c r="DL150" s="3">
        <f>IFERROR(MIN('Pelan Pengambilan'!I78,'Pelan Pengambilan'!K78,'Pelan Pengambilan'!M78,'Pelan Pengambilan'!O78,'Pelan Pengambilan'!Q78,'Pelan Pengambilan'!S78,'Pelan Pengambilan'!U78,'Pelan Pengambilan'!W78,'Pelan Pengambilan'!Y78,'Pelan Pengambilan'!AA78,'Pelan Pengambilan'!AC78,'Pelan Pengambilan'!AE78),"")</f>
        <v>0</v>
      </c>
      <c r="DM150" s="3">
        <f>IFERROR(MAX('Pelan Pengambilan'!I78,'Pelan Pengambilan'!K78,'Pelan Pengambilan'!M78,'Pelan Pengambilan'!O78,'Pelan Pengambilan'!Q78,'Pelan Pengambilan'!S78,'Pelan Pengambilan'!U78,'Pelan Pengambilan'!W78,'Pelan Pengambilan'!Y78,'Pelan Pengambilan'!AA78,'Pelan Pengambilan'!AC78,'Pelan Pengambilan'!AE78),"")</f>
        <v>0</v>
      </c>
    </row>
    <row r="151" ht="19.5" customHeight="1">
      <c r="A151" s="41"/>
      <c r="B151" s="41"/>
      <c r="C151" s="41"/>
      <c r="D151" s="155" t="s">
        <v>276</v>
      </c>
      <c r="E151" s="41"/>
      <c r="F151" s="41"/>
      <c r="G151" s="158"/>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c r="CS151" s="158"/>
      <c r="CT151" s="158"/>
      <c r="CU151" s="158"/>
      <c r="CV151" s="158"/>
      <c r="CW151" s="158"/>
      <c r="CX151" s="158"/>
      <c r="CY151" s="158"/>
      <c r="CZ151" s="158"/>
      <c r="DA151" s="158"/>
      <c r="DB151" s="158"/>
      <c r="DC151" s="158"/>
      <c r="DD151" s="158"/>
      <c r="DE151" s="158"/>
      <c r="DF151" s="158"/>
      <c r="DG151" s="158"/>
      <c r="DH151" s="41"/>
      <c r="DI151" s="41"/>
      <c r="DJ151" s="3"/>
      <c r="DK151" s="3"/>
      <c r="DL151" s="3"/>
      <c r="DM151" s="3"/>
    </row>
    <row r="152" ht="19.5" customHeight="1">
      <c r="A152" s="153" t="str">
        <f>'Pelan Pengambilan'!B79</f>
        <v/>
      </c>
      <c r="B152" s="154" t="str">
        <f>'Pelan Pengambilan'!C79</f>
        <v/>
      </c>
      <c r="C152" s="153" t="str">
        <f t="array" ref="C152">IFERROR(IF(INDEX(Strategi!$F$5:$F$134,MATCH(LARGE(Strategi!$K$5:$K$134,74),Strategi!$K$5:$K$134,0))="","","("&amp;COUNTIFS('Pelan Pengambilan'!$B$6:$B$79,'Pelan Pengambilan'!$B79,'Pelan Pengambilan'!$C$6:$C$79,'Pelan Pengambilan'!$C79)&amp;") "&amp;INDEX(Strategi!$F$5:$F$134,MATCH(LARGE(Strategi!$K$5:$K$134,74),Strategi!$K$5:$K$134,0))),"")</f>
        <v/>
      </c>
      <c r="D152" s="155" t="s">
        <v>275</v>
      </c>
      <c r="E152" s="156" t="str">
        <f>IFERROR(IF(COUNT('Pelan Pengambilan'!H79,'Pelan Pengambilan'!J79,'Pelan Pengambilan'!L79,'Pelan Pengambilan'!N79,'Pelan Pengambilan'!P79,'Pelan Pengambilan'!R79,'Pelan Pengambilan'!T79,'Pelan Pengambilan'!V79,'Pelan Pengambilan'!X79,'Pelan Pengambilan'!Z79,'Pelan Pengambilan'!AB79,'Pelan Pengambilan'!AD79)=0,"",COUNT('Pelan Pengambilan'!I79,'Pelan Pengambilan'!K79,'Pelan Pengambilan'!M79,'Pelan Pengambilan'!O79,'Pelan Pengambilan'!Q79,'Pelan Pengambilan'!S79,'Pelan Pengambilan'!U79,'Pelan Pengambilan'!W79,'Pelan Pengambilan'!Y79,'Pelan Pengambilan'!AA79,'Pelan Pengambilan'!AC79,'Pelan Pengambilan'!AE79)/COUNT('Pelan Pengambilan'!H79,'Pelan Pengambilan'!J79,'Pelan Pengambilan'!L79,'Pelan Pengambilan'!N79,'Pelan Pengambilan'!P79,'Pelan Pengambilan'!R79,'Pelan Pengambilan'!T79,'Pelan Pengambilan'!V79,'Pelan Pengambilan'!X79,'Pelan Pengambilan'!Z79,'Pelan Pengambilan'!AB79,'Pelan Pengambilan'!AD79)),"")</f>
        <v/>
      </c>
      <c r="F152" s="157" t="str">
        <f>IFERROR(IF('Pelan Pengambilan'!G79="","",'Pelan Pengambilan'!G79),"")</f>
        <v/>
      </c>
      <c r="G152" s="158"/>
      <c r="H152" s="158"/>
      <c r="I152" s="158"/>
      <c r="J152" s="158"/>
      <c r="K152" s="158"/>
      <c r="L152" s="158"/>
      <c r="M152" s="158"/>
      <c r="N152" s="158"/>
      <c r="O152" s="158"/>
      <c r="P152" s="158"/>
      <c r="Q152" s="158"/>
      <c r="R152" s="158"/>
      <c r="S152" s="158"/>
      <c r="T152" s="158"/>
      <c r="U152" s="158"/>
      <c r="V152" s="158"/>
      <c r="W152" s="158"/>
      <c r="X152" s="158"/>
      <c r="Y152" s="158"/>
      <c r="Z152" s="158"/>
      <c r="AA152" s="158"/>
      <c r="AB152" s="158"/>
      <c r="AC152" s="158"/>
      <c r="AD152" s="158"/>
      <c r="AE152" s="158"/>
      <c r="AF152" s="158"/>
      <c r="AG152" s="158"/>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c r="CD152" s="158"/>
      <c r="CE152" s="158"/>
      <c r="CF152" s="158"/>
      <c r="CG152" s="158"/>
      <c r="CH152" s="158"/>
      <c r="CI152" s="158"/>
      <c r="CJ152" s="158"/>
      <c r="CK152" s="158"/>
      <c r="CL152" s="158"/>
      <c r="CM152" s="158"/>
      <c r="CN152" s="158"/>
      <c r="CO152" s="158"/>
      <c r="CP152" s="158"/>
      <c r="CQ152" s="158"/>
      <c r="CR152" s="158"/>
      <c r="CS152" s="158"/>
      <c r="CT152" s="158"/>
      <c r="CU152" s="158"/>
      <c r="CV152" s="158"/>
      <c r="CW152" s="158"/>
      <c r="CX152" s="158"/>
      <c r="CY152" s="158"/>
      <c r="CZ152" s="158"/>
      <c r="DA152" s="158"/>
      <c r="DB152" s="158"/>
      <c r="DC152" s="158"/>
      <c r="DD152" s="158"/>
      <c r="DE152" s="158"/>
      <c r="DF152" s="158"/>
      <c r="DG152" s="158"/>
      <c r="DH152" s="154" t="str">
        <f>'Pelan Pengambilan'!AF79</f>
        <v/>
      </c>
      <c r="DI152" s="154"/>
      <c r="DJ152" s="3">
        <f>IFERROR(MIN('Pelan Pengambilan'!H79,'Pelan Pengambilan'!J79,'Pelan Pengambilan'!L79,'Pelan Pengambilan'!N79,'Pelan Pengambilan'!P79,'Pelan Pengambilan'!R79,'Pelan Pengambilan'!T79,'Pelan Pengambilan'!V79,'Pelan Pengambilan'!X79,'Pelan Pengambilan'!Z79,'Pelan Pengambilan'!AB79,'Pelan Pengambilan'!AD79),"")</f>
        <v>0</v>
      </c>
      <c r="DK152" s="3">
        <f>IFERROR(MAX('Pelan Pengambilan'!H79,'Pelan Pengambilan'!J79,'Pelan Pengambilan'!L79,'Pelan Pengambilan'!N79,'Pelan Pengambilan'!P79,'Pelan Pengambilan'!R79,'Pelan Pengambilan'!T79,'Pelan Pengambilan'!V79,'Pelan Pengambilan'!X79,'Pelan Pengambilan'!Z79,'Pelan Pengambilan'!AB79,'Pelan Pengambilan'!AD79),"")</f>
        <v>0</v>
      </c>
      <c r="DL152" s="3">
        <f>IFERROR(MIN('Pelan Pengambilan'!I79,'Pelan Pengambilan'!K79,'Pelan Pengambilan'!M79,'Pelan Pengambilan'!O79,'Pelan Pengambilan'!Q79,'Pelan Pengambilan'!S79,'Pelan Pengambilan'!U79,'Pelan Pengambilan'!W79,'Pelan Pengambilan'!Y79,'Pelan Pengambilan'!AA79,'Pelan Pengambilan'!AC79,'Pelan Pengambilan'!AE79),"")</f>
        <v>0</v>
      </c>
      <c r="DM152" s="3">
        <f>IFERROR(MAX('Pelan Pengambilan'!I79,'Pelan Pengambilan'!K79,'Pelan Pengambilan'!M79,'Pelan Pengambilan'!O79,'Pelan Pengambilan'!Q79,'Pelan Pengambilan'!S79,'Pelan Pengambilan'!U79,'Pelan Pengambilan'!W79,'Pelan Pengambilan'!Y79,'Pelan Pengambilan'!AA79,'Pelan Pengambilan'!AC79,'Pelan Pengambilan'!AE79),"")</f>
        <v>0</v>
      </c>
    </row>
    <row r="153" ht="19.5" customHeight="1">
      <c r="A153" s="41"/>
      <c r="B153" s="41"/>
      <c r="C153" s="41"/>
      <c r="D153" s="155" t="s">
        <v>276</v>
      </c>
      <c r="E153" s="41"/>
      <c r="F153" s="41"/>
      <c r="G153" s="158"/>
      <c r="H153" s="158"/>
      <c r="I153" s="158"/>
      <c r="J153" s="158"/>
      <c r="K153" s="158"/>
      <c r="L153" s="158"/>
      <c r="M153" s="158"/>
      <c r="N153" s="158"/>
      <c r="O153" s="158"/>
      <c r="P153" s="158"/>
      <c r="Q153" s="158"/>
      <c r="R153" s="158"/>
      <c r="S153" s="158"/>
      <c r="T153" s="158"/>
      <c r="U153" s="158"/>
      <c r="V153" s="158"/>
      <c r="W153" s="158"/>
      <c r="X153" s="158"/>
      <c r="Y153" s="158"/>
      <c r="Z153" s="158"/>
      <c r="AA153" s="158"/>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58"/>
      <c r="CS153" s="158"/>
      <c r="CT153" s="158"/>
      <c r="CU153" s="158"/>
      <c r="CV153" s="158"/>
      <c r="CW153" s="158"/>
      <c r="CX153" s="158"/>
      <c r="CY153" s="158"/>
      <c r="CZ153" s="158"/>
      <c r="DA153" s="158"/>
      <c r="DB153" s="158"/>
      <c r="DC153" s="158"/>
      <c r="DD153" s="158"/>
      <c r="DE153" s="158"/>
      <c r="DF153" s="158"/>
      <c r="DG153" s="158"/>
      <c r="DH153" s="41"/>
      <c r="DI153" s="41"/>
      <c r="DJ153" s="3"/>
      <c r="DK153" s="3"/>
      <c r="DL153" s="3"/>
      <c r="DM153" s="3"/>
    </row>
    <row r="154" ht="19.5" customHeight="1">
      <c r="A154" s="153" t="str">
        <f>'Pelan Pengambilan'!B80</f>
        <v/>
      </c>
      <c r="B154" s="154" t="str">
        <f>'Pelan Pengambilan'!C80</f>
        <v/>
      </c>
      <c r="C154" s="153" t="str">
        <f t="array" ref="C154">IFERROR(IF(INDEX(Strategi!$F$5:$F$134,MATCH(LARGE(Strategi!$K$5:$K$134,75),Strategi!$K$5:$K$134,0))="","","("&amp;COUNTIFS('Pelan Pengambilan'!$B$6:$B$80,'Pelan Pengambilan'!$B80,'Pelan Pengambilan'!$C$6:$C$80,'Pelan Pengambilan'!$C80)&amp;") "&amp;INDEX(Strategi!$F$5:$F$134,MATCH(LARGE(Strategi!$K$5:$K$134,75),Strategi!$K$5:$K$134,0))),"")</f>
        <v/>
      </c>
      <c r="D154" s="155" t="s">
        <v>275</v>
      </c>
      <c r="E154" s="156" t="str">
        <f>IFERROR(IF(COUNT('Pelan Pengambilan'!H80,'Pelan Pengambilan'!J80,'Pelan Pengambilan'!L80,'Pelan Pengambilan'!N80,'Pelan Pengambilan'!P80,'Pelan Pengambilan'!R80,'Pelan Pengambilan'!T80,'Pelan Pengambilan'!V80,'Pelan Pengambilan'!X80,'Pelan Pengambilan'!Z80,'Pelan Pengambilan'!AB80,'Pelan Pengambilan'!AD80)=0,"",COUNT('Pelan Pengambilan'!I80,'Pelan Pengambilan'!K80,'Pelan Pengambilan'!M80,'Pelan Pengambilan'!O80,'Pelan Pengambilan'!Q80,'Pelan Pengambilan'!S80,'Pelan Pengambilan'!U80,'Pelan Pengambilan'!W80,'Pelan Pengambilan'!Y80,'Pelan Pengambilan'!AA80,'Pelan Pengambilan'!AC80,'Pelan Pengambilan'!AE80)/COUNT('Pelan Pengambilan'!H80,'Pelan Pengambilan'!J80,'Pelan Pengambilan'!L80,'Pelan Pengambilan'!N80,'Pelan Pengambilan'!P80,'Pelan Pengambilan'!R80,'Pelan Pengambilan'!T80,'Pelan Pengambilan'!V80,'Pelan Pengambilan'!X80,'Pelan Pengambilan'!Z80,'Pelan Pengambilan'!AB80,'Pelan Pengambilan'!AD80)),"")</f>
        <v/>
      </c>
      <c r="F154" s="157" t="str">
        <f>IFERROR(IF('Pelan Pengambilan'!G80="","",'Pelan Pengambilan'!G80),"")</f>
        <v/>
      </c>
      <c r="G154" s="158"/>
      <c r="H154" s="158"/>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c r="CR154" s="158"/>
      <c r="CS154" s="158"/>
      <c r="CT154" s="158"/>
      <c r="CU154" s="158"/>
      <c r="CV154" s="158"/>
      <c r="CW154" s="158"/>
      <c r="CX154" s="158"/>
      <c r="CY154" s="158"/>
      <c r="CZ154" s="158"/>
      <c r="DA154" s="158"/>
      <c r="DB154" s="158"/>
      <c r="DC154" s="158"/>
      <c r="DD154" s="158"/>
      <c r="DE154" s="158"/>
      <c r="DF154" s="158"/>
      <c r="DG154" s="158"/>
      <c r="DH154" s="154" t="str">
        <f>'Pelan Pengambilan'!AF80</f>
        <v/>
      </c>
      <c r="DI154" s="154"/>
      <c r="DJ154" s="3">
        <f>IFERROR(MIN('Pelan Pengambilan'!H80,'Pelan Pengambilan'!J80,'Pelan Pengambilan'!L80,'Pelan Pengambilan'!N80,'Pelan Pengambilan'!P80,'Pelan Pengambilan'!R80,'Pelan Pengambilan'!T80,'Pelan Pengambilan'!V80,'Pelan Pengambilan'!X80,'Pelan Pengambilan'!Z80,'Pelan Pengambilan'!AB80,'Pelan Pengambilan'!AD80),"")</f>
        <v>0</v>
      </c>
      <c r="DK154" s="3">
        <f>IFERROR(MAX('Pelan Pengambilan'!H80,'Pelan Pengambilan'!J80,'Pelan Pengambilan'!L80,'Pelan Pengambilan'!N80,'Pelan Pengambilan'!P80,'Pelan Pengambilan'!R80,'Pelan Pengambilan'!T80,'Pelan Pengambilan'!V80,'Pelan Pengambilan'!X80,'Pelan Pengambilan'!Z80,'Pelan Pengambilan'!AB80,'Pelan Pengambilan'!AD80),"")</f>
        <v>0</v>
      </c>
      <c r="DL154" s="3">
        <f>IFERROR(MIN('Pelan Pengambilan'!I80,'Pelan Pengambilan'!K80,'Pelan Pengambilan'!M80,'Pelan Pengambilan'!O80,'Pelan Pengambilan'!Q80,'Pelan Pengambilan'!S80,'Pelan Pengambilan'!U80,'Pelan Pengambilan'!W80,'Pelan Pengambilan'!Y80,'Pelan Pengambilan'!AA80,'Pelan Pengambilan'!AC80,'Pelan Pengambilan'!AE80),"")</f>
        <v>0</v>
      </c>
      <c r="DM154" s="3">
        <f>IFERROR(MAX('Pelan Pengambilan'!I80,'Pelan Pengambilan'!K80,'Pelan Pengambilan'!M80,'Pelan Pengambilan'!O80,'Pelan Pengambilan'!Q80,'Pelan Pengambilan'!S80,'Pelan Pengambilan'!U80,'Pelan Pengambilan'!W80,'Pelan Pengambilan'!Y80,'Pelan Pengambilan'!AA80,'Pelan Pengambilan'!AC80,'Pelan Pengambilan'!AE80),"")</f>
        <v>0</v>
      </c>
    </row>
    <row r="155" ht="19.5" customHeight="1">
      <c r="A155" s="41"/>
      <c r="B155" s="41"/>
      <c r="C155" s="41"/>
      <c r="D155" s="155" t="s">
        <v>276</v>
      </c>
      <c r="E155" s="41"/>
      <c r="F155" s="41"/>
      <c r="G155" s="158"/>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c r="CS155" s="158"/>
      <c r="CT155" s="158"/>
      <c r="CU155" s="158"/>
      <c r="CV155" s="158"/>
      <c r="CW155" s="158"/>
      <c r="CX155" s="158"/>
      <c r="CY155" s="158"/>
      <c r="CZ155" s="158"/>
      <c r="DA155" s="158"/>
      <c r="DB155" s="158"/>
      <c r="DC155" s="158"/>
      <c r="DD155" s="158"/>
      <c r="DE155" s="158"/>
      <c r="DF155" s="158"/>
      <c r="DG155" s="158"/>
      <c r="DH155" s="41"/>
      <c r="DI155" s="41"/>
      <c r="DJ155" s="3"/>
      <c r="DK155" s="3"/>
      <c r="DL155" s="3"/>
      <c r="DM155" s="3"/>
    </row>
    <row r="156" ht="19.5" customHeight="1">
      <c r="A156" s="153" t="str">
        <f>'Pelan Pengambilan'!B81</f>
        <v/>
      </c>
      <c r="B156" s="154" t="str">
        <f>'Pelan Pengambilan'!C81</f>
        <v/>
      </c>
      <c r="C156" s="153" t="str">
        <f t="array" ref="C156">IFERROR(IF(INDEX(Strategi!$F$5:$F$134,MATCH(LARGE(Strategi!$K$5:$K$134,76),Strategi!$K$5:$K$134,0))="","","("&amp;COUNTIFS('Pelan Pengambilan'!$B$6:$B$81,'Pelan Pengambilan'!$B81,'Pelan Pengambilan'!$C$6:$C$81,'Pelan Pengambilan'!$C81)&amp;") "&amp;INDEX(Strategi!$F$5:$F$134,MATCH(LARGE(Strategi!$K$5:$K$134,76),Strategi!$K$5:$K$134,0))),"")</f>
        <v/>
      </c>
      <c r="D156" s="155" t="s">
        <v>275</v>
      </c>
      <c r="E156" s="156" t="str">
        <f>IFERROR(IF(COUNT('Pelan Pengambilan'!H81,'Pelan Pengambilan'!J81,'Pelan Pengambilan'!L81,'Pelan Pengambilan'!N81,'Pelan Pengambilan'!P81,'Pelan Pengambilan'!R81,'Pelan Pengambilan'!T81,'Pelan Pengambilan'!V81,'Pelan Pengambilan'!X81,'Pelan Pengambilan'!Z81,'Pelan Pengambilan'!AB81,'Pelan Pengambilan'!AD81)=0,"",COUNT('Pelan Pengambilan'!I81,'Pelan Pengambilan'!K81,'Pelan Pengambilan'!M81,'Pelan Pengambilan'!O81,'Pelan Pengambilan'!Q81,'Pelan Pengambilan'!S81,'Pelan Pengambilan'!U81,'Pelan Pengambilan'!W81,'Pelan Pengambilan'!Y81,'Pelan Pengambilan'!AA81,'Pelan Pengambilan'!AC81,'Pelan Pengambilan'!AE81)/COUNT('Pelan Pengambilan'!H81,'Pelan Pengambilan'!J81,'Pelan Pengambilan'!L81,'Pelan Pengambilan'!N81,'Pelan Pengambilan'!P81,'Pelan Pengambilan'!R81,'Pelan Pengambilan'!T81,'Pelan Pengambilan'!V81,'Pelan Pengambilan'!X81,'Pelan Pengambilan'!Z81,'Pelan Pengambilan'!AB81,'Pelan Pengambilan'!AD81)),"")</f>
        <v/>
      </c>
      <c r="F156" s="157" t="str">
        <f>IFERROR(IF('Pelan Pengambilan'!G81="","",'Pelan Pengambilan'!G81),"")</f>
        <v/>
      </c>
      <c r="G156" s="158"/>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c r="CS156" s="158"/>
      <c r="CT156" s="158"/>
      <c r="CU156" s="158"/>
      <c r="CV156" s="158"/>
      <c r="CW156" s="158"/>
      <c r="CX156" s="158"/>
      <c r="CY156" s="158"/>
      <c r="CZ156" s="158"/>
      <c r="DA156" s="158"/>
      <c r="DB156" s="158"/>
      <c r="DC156" s="158"/>
      <c r="DD156" s="158"/>
      <c r="DE156" s="158"/>
      <c r="DF156" s="158"/>
      <c r="DG156" s="158"/>
      <c r="DH156" s="154" t="str">
        <f>'Pelan Pengambilan'!AF81</f>
        <v/>
      </c>
      <c r="DI156" s="154"/>
      <c r="DJ156" s="3">
        <f>IFERROR(MIN('Pelan Pengambilan'!H81,'Pelan Pengambilan'!J81,'Pelan Pengambilan'!L81,'Pelan Pengambilan'!N81,'Pelan Pengambilan'!P81,'Pelan Pengambilan'!R81,'Pelan Pengambilan'!T81,'Pelan Pengambilan'!V81,'Pelan Pengambilan'!X81,'Pelan Pengambilan'!Z81,'Pelan Pengambilan'!AB81,'Pelan Pengambilan'!AD81),"")</f>
        <v>0</v>
      </c>
      <c r="DK156" s="3">
        <f>IFERROR(MAX('Pelan Pengambilan'!H81,'Pelan Pengambilan'!J81,'Pelan Pengambilan'!L81,'Pelan Pengambilan'!N81,'Pelan Pengambilan'!P81,'Pelan Pengambilan'!R81,'Pelan Pengambilan'!T81,'Pelan Pengambilan'!V81,'Pelan Pengambilan'!X81,'Pelan Pengambilan'!Z81,'Pelan Pengambilan'!AB81,'Pelan Pengambilan'!AD81),"")</f>
        <v>0</v>
      </c>
      <c r="DL156" s="3">
        <f>IFERROR(MIN('Pelan Pengambilan'!I81,'Pelan Pengambilan'!K81,'Pelan Pengambilan'!M81,'Pelan Pengambilan'!O81,'Pelan Pengambilan'!Q81,'Pelan Pengambilan'!S81,'Pelan Pengambilan'!U81,'Pelan Pengambilan'!W81,'Pelan Pengambilan'!Y81,'Pelan Pengambilan'!AA81,'Pelan Pengambilan'!AC81,'Pelan Pengambilan'!AE81),"")</f>
        <v>0</v>
      </c>
      <c r="DM156" s="3">
        <f>IFERROR(MAX('Pelan Pengambilan'!I81,'Pelan Pengambilan'!K81,'Pelan Pengambilan'!M81,'Pelan Pengambilan'!O81,'Pelan Pengambilan'!Q81,'Pelan Pengambilan'!S81,'Pelan Pengambilan'!U81,'Pelan Pengambilan'!W81,'Pelan Pengambilan'!Y81,'Pelan Pengambilan'!AA81,'Pelan Pengambilan'!AC81,'Pelan Pengambilan'!AE81),"")</f>
        <v>0</v>
      </c>
    </row>
    <row r="157" ht="19.5" customHeight="1">
      <c r="A157" s="41"/>
      <c r="B157" s="41"/>
      <c r="C157" s="41"/>
      <c r="D157" s="155" t="s">
        <v>276</v>
      </c>
      <c r="E157" s="41"/>
      <c r="F157" s="41"/>
      <c r="G157" s="158"/>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c r="CS157" s="158"/>
      <c r="CT157" s="158"/>
      <c r="CU157" s="158"/>
      <c r="CV157" s="158"/>
      <c r="CW157" s="158"/>
      <c r="CX157" s="158"/>
      <c r="CY157" s="158"/>
      <c r="CZ157" s="158"/>
      <c r="DA157" s="158"/>
      <c r="DB157" s="158"/>
      <c r="DC157" s="158"/>
      <c r="DD157" s="158"/>
      <c r="DE157" s="158"/>
      <c r="DF157" s="158"/>
      <c r="DG157" s="158"/>
      <c r="DH157" s="41"/>
      <c r="DI157" s="41"/>
      <c r="DJ157" s="3"/>
      <c r="DK157" s="3"/>
      <c r="DL157" s="3"/>
      <c r="DM157" s="3"/>
    </row>
    <row r="158" ht="19.5" customHeight="1">
      <c r="A158" s="153" t="str">
        <f>'Pelan Pengambilan'!B82</f>
        <v/>
      </c>
      <c r="B158" s="154" t="str">
        <f>'Pelan Pengambilan'!C82</f>
        <v/>
      </c>
      <c r="C158" s="153" t="str">
        <f t="array" ref="C158">IFERROR(IF(INDEX(Strategi!$F$5:$F$134,MATCH(LARGE(Strategi!$K$5:$K$134,77),Strategi!$K$5:$K$134,0))="","","("&amp;COUNTIFS('Pelan Pengambilan'!$B$6:$B$82,'Pelan Pengambilan'!$B82,'Pelan Pengambilan'!$C$6:$C$82,'Pelan Pengambilan'!$C82)&amp;") "&amp;INDEX(Strategi!$F$5:$F$134,MATCH(LARGE(Strategi!$K$5:$K$134,77),Strategi!$K$5:$K$134,0))),"")</f>
        <v/>
      </c>
      <c r="D158" s="155" t="s">
        <v>275</v>
      </c>
      <c r="E158" s="156" t="str">
        <f>IFERROR(IF(COUNT('Pelan Pengambilan'!H82,'Pelan Pengambilan'!J82,'Pelan Pengambilan'!L82,'Pelan Pengambilan'!N82,'Pelan Pengambilan'!P82,'Pelan Pengambilan'!R82,'Pelan Pengambilan'!T82,'Pelan Pengambilan'!V82,'Pelan Pengambilan'!X82,'Pelan Pengambilan'!Z82,'Pelan Pengambilan'!AB82,'Pelan Pengambilan'!AD82)=0,"",COUNT('Pelan Pengambilan'!I82,'Pelan Pengambilan'!K82,'Pelan Pengambilan'!M82,'Pelan Pengambilan'!O82,'Pelan Pengambilan'!Q82,'Pelan Pengambilan'!S82,'Pelan Pengambilan'!U82,'Pelan Pengambilan'!W82,'Pelan Pengambilan'!Y82,'Pelan Pengambilan'!AA82,'Pelan Pengambilan'!AC82,'Pelan Pengambilan'!AE82)/COUNT('Pelan Pengambilan'!H82,'Pelan Pengambilan'!J82,'Pelan Pengambilan'!L82,'Pelan Pengambilan'!N82,'Pelan Pengambilan'!P82,'Pelan Pengambilan'!R82,'Pelan Pengambilan'!T82,'Pelan Pengambilan'!V82,'Pelan Pengambilan'!X82,'Pelan Pengambilan'!Z82,'Pelan Pengambilan'!AB82,'Pelan Pengambilan'!AD82)),"")</f>
        <v/>
      </c>
      <c r="F158" s="157" t="str">
        <f>IFERROR(IF('Pelan Pengambilan'!G82="","",'Pelan Pengambilan'!G82),"")</f>
        <v/>
      </c>
      <c r="G158" s="158"/>
      <c r="H158" s="158"/>
      <c r="I158" s="158"/>
      <c r="J158" s="158"/>
      <c r="K158" s="158"/>
      <c r="L158" s="158"/>
      <c r="M158" s="158"/>
      <c r="N158" s="158"/>
      <c r="O158" s="158"/>
      <c r="P158" s="158"/>
      <c r="Q158" s="158"/>
      <c r="R158" s="158"/>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c r="BF158" s="158"/>
      <c r="BG158" s="158"/>
      <c r="BH158" s="158"/>
      <c r="BI158" s="158"/>
      <c r="BJ158" s="158"/>
      <c r="BK158" s="158"/>
      <c r="BL158" s="158"/>
      <c r="BM158" s="158"/>
      <c r="BN158" s="158"/>
      <c r="BO158" s="158"/>
      <c r="BP158" s="158"/>
      <c r="BQ158" s="158"/>
      <c r="BR158" s="158"/>
      <c r="BS158" s="158"/>
      <c r="BT158" s="158"/>
      <c r="BU158" s="158"/>
      <c r="BV158" s="158"/>
      <c r="BW158" s="158"/>
      <c r="BX158" s="158"/>
      <c r="BY158" s="158"/>
      <c r="BZ158" s="158"/>
      <c r="CA158" s="158"/>
      <c r="CB158" s="158"/>
      <c r="CC158" s="158"/>
      <c r="CD158" s="158"/>
      <c r="CE158" s="158"/>
      <c r="CF158" s="158"/>
      <c r="CG158" s="158"/>
      <c r="CH158" s="158"/>
      <c r="CI158" s="158"/>
      <c r="CJ158" s="158"/>
      <c r="CK158" s="158"/>
      <c r="CL158" s="158"/>
      <c r="CM158" s="158"/>
      <c r="CN158" s="158"/>
      <c r="CO158" s="158"/>
      <c r="CP158" s="158"/>
      <c r="CQ158" s="158"/>
      <c r="CR158" s="158"/>
      <c r="CS158" s="158"/>
      <c r="CT158" s="158"/>
      <c r="CU158" s="158"/>
      <c r="CV158" s="158"/>
      <c r="CW158" s="158"/>
      <c r="CX158" s="158"/>
      <c r="CY158" s="158"/>
      <c r="CZ158" s="158"/>
      <c r="DA158" s="158"/>
      <c r="DB158" s="158"/>
      <c r="DC158" s="158"/>
      <c r="DD158" s="158"/>
      <c r="DE158" s="158"/>
      <c r="DF158" s="158"/>
      <c r="DG158" s="158"/>
      <c r="DH158" s="154" t="str">
        <f>'Pelan Pengambilan'!AF82</f>
        <v/>
      </c>
      <c r="DI158" s="154"/>
      <c r="DJ158" s="3">
        <f>IFERROR(MIN('Pelan Pengambilan'!H82,'Pelan Pengambilan'!J82,'Pelan Pengambilan'!L82,'Pelan Pengambilan'!N82,'Pelan Pengambilan'!P82,'Pelan Pengambilan'!R82,'Pelan Pengambilan'!T82,'Pelan Pengambilan'!V82,'Pelan Pengambilan'!X82,'Pelan Pengambilan'!Z82,'Pelan Pengambilan'!AB82,'Pelan Pengambilan'!AD82),"")</f>
        <v>0</v>
      </c>
      <c r="DK158" s="3">
        <f>IFERROR(MAX('Pelan Pengambilan'!H82,'Pelan Pengambilan'!J82,'Pelan Pengambilan'!L82,'Pelan Pengambilan'!N82,'Pelan Pengambilan'!P82,'Pelan Pengambilan'!R82,'Pelan Pengambilan'!T82,'Pelan Pengambilan'!V82,'Pelan Pengambilan'!X82,'Pelan Pengambilan'!Z82,'Pelan Pengambilan'!AB82,'Pelan Pengambilan'!AD82),"")</f>
        <v>0</v>
      </c>
      <c r="DL158" s="3">
        <f>IFERROR(MIN('Pelan Pengambilan'!I82,'Pelan Pengambilan'!K82,'Pelan Pengambilan'!M82,'Pelan Pengambilan'!O82,'Pelan Pengambilan'!Q82,'Pelan Pengambilan'!S82,'Pelan Pengambilan'!U82,'Pelan Pengambilan'!W82,'Pelan Pengambilan'!Y82,'Pelan Pengambilan'!AA82,'Pelan Pengambilan'!AC82,'Pelan Pengambilan'!AE82),"")</f>
        <v>0</v>
      </c>
      <c r="DM158" s="3">
        <f>IFERROR(MAX('Pelan Pengambilan'!I82,'Pelan Pengambilan'!K82,'Pelan Pengambilan'!M82,'Pelan Pengambilan'!O82,'Pelan Pengambilan'!Q82,'Pelan Pengambilan'!S82,'Pelan Pengambilan'!U82,'Pelan Pengambilan'!W82,'Pelan Pengambilan'!Y82,'Pelan Pengambilan'!AA82,'Pelan Pengambilan'!AC82,'Pelan Pengambilan'!AE82),"")</f>
        <v>0</v>
      </c>
    </row>
    <row r="159" ht="19.5" customHeight="1">
      <c r="A159" s="41"/>
      <c r="B159" s="41"/>
      <c r="C159" s="41"/>
      <c r="D159" s="155" t="s">
        <v>276</v>
      </c>
      <c r="E159" s="41"/>
      <c r="F159" s="41"/>
      <c r="G159" s="158"/>
      <c r="H159" s="158"/>
      <c r="I159" s="158"/>
      <c r="J159" s="158"/>
      <c r="K159" s="158"/>
      <c r="L159" s="158"/>
      <c r="M159" s="158"/>
      <c r="N159" s="158"/>
      <c r="O159" s="158"/>
      <c r="P159" s="158"/>
      <c r="Q159" s="158"/>
      <c r="R159" s="158"/>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c r="CD159" s="158"/>
      <c r="CE159" s="158"/>
      <c r="CF159" s="158"/>
      <c r="CG159" s="158"/>
      <c r="CH159" s="158"/>
      <c r="CI159" s="158"/>
      <c r="CJ159" s="158"/>
      <c r="CK159" s="158"/>
      <c r="CL159" s="158"/>
      <c r="CM159" s="158"/>
      <c r="CN159" s="158"/>
      <c r="CO159" s="158"/>
      <c r="CP159" s="158"/>
      <c r="CQ159" s="158"/>
      <c r="CR159" s="158"/>
      <c r="CS159" s="158"/>
      <c r="CT159" s="158"/>
      <c r="CU159" s="158"/>
      <c r="CV159" s="158"/>
      <c r="CW159" s="158"/>
      <c r="CX159" s="158"/>
      <c r="CY159" s="158"/>
      <c r="CZ159" s="158"/>
      <c r="DA159" s="158"/>
      <c r="DB159" s="158"/>
      <c r="DC159" s="158"/>
      <c r="DD159" s="158"/>
      <c r="DE159" s="158"/>
      <c r="DF159" s="158"/>
      <c r="DG159" s="158"/>
      <c r="DH159" s="41"/>
      <c r="DI159" s="41"/>
      <c r="DJ159" s="3"/>
      <c r="DK159" s="3"/>
      <c r="DL159" s="3"/>
      <c r="DM159" s="3"/>
    </row>
    <row r="160" ht="19.5" customHeight="1">
      <c r="A160" s="153" t="str">
        <f>'Pelan Pengambilan'!B83</f>
        <v/>
      </c>
      <c r="B160" s="154" t="str">
        <f>'Pelan Pengambilan'!C83</f>
        <v/>
      </c>
      <c r="C160" s="153" t="str">
        <f t="array" ref="C160">IFERROR(IF(INDEX(Strategi!$F$5:$F$134,MATCH(LARGE(Strategi!$K$5:$K$134,78),Strategi!$K$5:$K$134,0))="","","("&amp;COUNTIFS('Pelan Pengambilan'!$B$6:$B$83,'Pelan Pengambilan'!$B83,'Pelan Pengambilan'!$C$6:$C$83,'Pelan Pengambilan'!$C83)&amp;") "&amp;INDEX(Strategi!$F$5:$F$134,MATCH(LARGE(Strategi!$K$5:$K$134,78),Strategi!$K$5:$K$134,0))),"")</f>
        <v/>
      </c>
      <c r="D160" s="155" t="s">
        <v>275</v>
      </c>
      <c r="E160" s="156" t="str">
        <f>IFERROR(IF(COUNT('Pelan Pengambilan'!H83,'Pelan Pengambilan'!J83,'Pelan Pengambilan'!L83,'Pelan Pengambilan'!N83,'Pelan Pengambilan'!P83,'Pelan Pengambilan'!R83,'Pelan Pengambilan'!T83,'Pelan Pengambilan'!V83,'Pelan Pengambilan'!X83,'Pelan Pengambilan'!Z83,'Pelan Pengambilan'!AB83,'Pelan Pengambilan'!AD83)=0,"",COUNT('Pelan Pengambilan'!I83,'Pelan Pengambilan'!K83,'Pelan Pengambilan'!M83,'Pelan Pengambilan'!O83,'Pelan Pengambilan'!Q83,'Pelan Pengambilan'!S83,'Pelan Pengambilan'!U83,'Pelan Pengambilan'!W83,'Pelan Pengambilan'!Y83,'Pelan Pengambilan'!AA83,'Pelan Pengambilan'!AC83,'Pelan Pengambilan'!AE83)/COUNT('Pelan Pengambilan'!H83,'Pelan Pengambilan'!J83,'Pelan Pengambilan'!L83,'Pelan Pengambilan'!N83,'Pelan Pengambilan'!P83,'Pelan Pengambilan'!R83,'Pelan Pengambilan'!T83,'Pelan Pengambilan'!V83,'Pelan Pengambilan'!X83,'Pelan Pengambilan'!Z83,'Pelan Pengambilan'!AB83,'Pelan Pengambilan'!AD83)),"")</f>
        <v/>
      </c>
      <c r="F160" s="157" t="str">
        <f>IFERROR(IF('Pelan Pengambilan'!G83="","",'Pelan Pengambilan'!G83),"")</f>
        <v/>
      </c>
      <c r="G160" s="158"/>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c r="CD160" s="158"/>
      <c r="CE160" s="158"/>
      <c r="CF160" s="158"/>
      <c r="CG160" s="158"/>
      <c r="CH160" s="158"/>
      <c r="CI160" s="158"/>
      <c r="CJ160" s="158"/>
      <c r="CK160" s="158"/>
      <c r="CL160" s="158"/>
      <c r="CM160" s="158"/>
      <c r="CN160" s="158"/>
      <c r="CO160" s="158"/>
      <c r="CP160" s="158"/>
      <c r="CQ160" s="158"/>
      <c r="CR160" s="158"/>
      <c r="CS160" s="158"/>
      <c r="CT160" s="158"/>
      <c r="CU160" s="158"/>
      <c r="CV160" s="158"/>
      <c r="CW160" s="158"/>
      <c r="CX160" s="158"/>
      <c r="CY160" s="158"/>
      <c r="CZ160" s="158"/>
      <c r="DA160" s="158"/>
      <c r="DB160" s="158"/>
      <c r="DC160" s="158"/>
      <c r="DD160" s="158"/>
      <c r="DE160" s="158"/>
      <c r="DF160" s="158"/>
      <c r="DG160" s="158"/>
      <c r="DH160" s="154" t="str">
        <f>'Pelan Pengambilan'!AF83</f>
        <v/>
      </c>
      <c r="DI160" s="154"/>
      <c r="DJ160" s="3">
        <f>IFERROR(MIN('Pelan Pengambilan'!H83,'Pelan Pengambilan'!J83,'Pelan Pengambilan'!L83,'Pelan Pengambilan'!N83,'Pelan Pengambilan'!P83,'Pelan Pengambilan'!R83,'Pelan Pengambilan'!T83,'Pelan Pengambilan'!V83,'Pelan Pengambilan'!X83,'Pelan Pengambilan'!Z83,'Pelan Pengambilan'!AB83,'Pelan Pengambilan'!AD83),"")</f>
        <v>0</v>
      </c>
      <c r="DK160" s="3">
        <f>IFERROR(MAX('Pelan Pengambilan'!H83,'Pelan Pengambilan'!J83,'Pelan Pengambilan'!L83,'Pelan Pengambilan'!N83,'Pelan Pengambilan'!P83,'Pelan Pengambilan'!R83,'Pelan Pengambilan'!T83,'Pelan Pengambilan'!V83,'Pelan Pengambilan'!X83,'Pelan Pengambilan'!Z83,'Pelan Pengambilan'!AB83,'Pelan Pengambilan'!AD83),"")</f>
        <v>0</v>
      </c>
      <c r="DL160" s="3">
        <f>IFERROR(MIN('Pelan Pengambilan'!I83,'Pelan Pengambilan'!K83,'Pelan Pengambilan'!M83,'Pelan Pengambilan'!O83,'Pelan Pengambilan'!Q83,'Pelan Pengambilan'!S83,'Pelan Pengambilan'!U83,'Pelan Pengambilan'!W83,'Pelan Pengambilan'!Y83,'Pelan Pengambilan'!AA83,'Pelan Pengambilan'!AC83,'Pelan Pengambilan'!AE83),"")</f>
        <v>0</v>
      </c>
      <c r="DM160" s="3">
        <f>IFERROR(MAX('Pelan Pengambilan'!I83,'Pelan Pengambilan'!K83,'Pelan Pengambilan'!M83,'Pelan Pengambilan'!O83,'Pelan Pengambilan'!Q83,'Pelan Pengambilan'!S83,'Pelan Pengambilan'!U83,'Pelan Pengambilan'!W83,'Pelan Pengambilan'!Y83,'Pelan Pengambilan'!AA83,'Pelan Pengambilan'!AC83,'Pelan Pengambilan'!AE83),"")</f>
        <v>0</v>
      </c>
    </row>
    <row r="161" ht="19.5" customHeight="1">
      <c r="A161" s="41"/>
      <c r="B161" s="41"/>
      <c r="C161" s="41"/>
      <c r="D161" s="155" t="s">
        <v>276</v>
      </c>
      <c r="E161" s="41"/>
      <c r="F161" s="41"/>
      <c r="G161" s="158"/>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c r="CD161" s="158"/>
      <c r="CE161" s="158"/>
      <c r="CF161" s="158"/>
      <c r="CG161" s="158"/>
      <c r="CH161" s="158"/>
      <c r="CI161" s="158"/>
      <c r="CJ161" s="158"/>
      <c r="CK161" s="158"/>
      <c r="CL161" s="158"/>
      <c r="CM161" s="158"/>
      <c r="CN161" s="158"/>
      <c r="CO161" s="158"/>
      <c r="CP161" s="158"/>
      <c r="CQ161" s="158"/>
      <c r="CR161" s="158"/>
      <c r="CS161" s="158"/>
      <c r="CT161" s="158"/>
      <c r="CU161" s="158"/>
      <c r="CV161" s="158"/>
      <c r="CW161" s="158"/>
      <c r="CX161" s="158"/>
      <c r="CY161" s="158"/>
      <c r="CZ161" s="158"/>
      <c r="DA161" s="158"/>
      <c r="DB161" s="158"/>
      <c r="DC161" s="158"/>
      <c r="DD161" s="158"/>
      <c r="DE161" s="158"/>
      <c r="DF161" s="158"/>
      <c r="DG161" s="158"/>
      <c r="DH161" s="41"/>
      <c r="DI161" s="41"/>
      <c r="DJ161" s="3"/>
      <c r="DK161" s="3"/>
      <c r="DL161" s="3"/>
      <c r="DM161" s="3"/>
    </row>
    <row r="162" ht="19.5" customHeight="1">
      <c r="A162" s="153" t="str">
        <f>'Pelan Pengambilan'!B84</f>
        <v/>
      </c>
      <c r="B162" s="154" t="str">
        <f>'Pelan Pengambilan'!C84</f>
        <v/>
      </c>
      <c r="C162" s="153" t="str">
        <f t="array" ref="C162">IFERROR(IF(INDEX(Strategi!$F$5:$F$134,MATCH(LARGE(Strategi!$K$5:$K$134,79),Strategi!$K$5:$K$134,0))="","","("&amp;COUNTIFS('Pelan Pengambilan'!$B$6:$B$84,'Pelan Pengambilan'!$B84,'Pelan Pengambilan'!$C$6:$C$84,'Pelan Pengambilan'!$C84)&amp;") "&amp;INDEX(Strategi!$F$5:$F$134,MATCH(LARGE(Strategi!$K$5:$K$134,79),Strategi!$K$5:$K$134,0))),"")</f>
        <v/>
      </c>
      <c r="D162" s="155" t="s">
        <v>275</v>
      </c>
      <c r="E162" s="156" t="str">
        <f>IFERROR(IF(COUNT('Pelan Pengambilan'!H84,'Pelan Pengambilan'!J84,'Pelan Pengambilan'!L84,'Pelan Pengambilan'!N84,'Pelan Pengambilan'!P84,'Pelan Pengambilan'!R84,'Pelan Pengambilan'!T84,'Pelan Pengambilan'!V84,'Pelan Pengambilan'!X84,'Pelan Pengambilan'!Z84,'Pelan Pengambilan'!AB84,'Pelan Pengambilan'!AD84)=0,"",COUNT('Pelan Pengambilan'!I84,'Pelan Pengambilan'!K84,'Pelan Pengambilan'!M84,'Pelan Pengambilan'!O84,'Pelan Pengambilan'!Q84,'Pelan Pengambilan'!S84,'Pelan Pengambilan'!U84,'Pelan Pengambilan'!W84,'Pelan Pengambilan'!Y84,'Pelan Pengambilan'!AA84,'Pelan Pengambilan'!AC84,'Pelan Pengambilan'!AE84)/COUNT('Pelan Pengambilan'!H84,'Pelan Pengambilan'!J84,'Pelan Pengambilan'!L84,'Pelan Pengambilan'!N84,'Pelan Pengambilan'!P84,'Pelan Pengambilan'!R84,'Pelan Pengambilan'!T84,'Pelan Pengambilan'!V84,'Pelan Pengambilan'!X84,'Pelan Pengambilan'!Z84,'Pelan Pengambilan'!AB84,'Pelan Pengambilan'!AD84)),"")</f>
        <v/>
      </c>
      <c r="F162" s="157" t="str">
        <f>IFERROR(IF('Pelan Pengambilan'!G84="","",'Pelan Pengambilan'!G84),"")</f>
        <v/>
      </c>
      <c r="G162" s="158"/>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c r="CS162" s="158"/>
      <c r="CT162" s="158"/>
      <c r="CU162" s="158"/>
      <c r="CV162" s="158"/>
      <c r="CW162" s="158"/>
      <c r="CX162" s="158"/>
      <c r="CY162" s="158"/>
      <c r="CZ162" s="158"/>
      <c r="DA162" s="158"/>
      <c r="DB162" s="158"/>
      <c r="DC162" s="158"/>
      <c r="DD162" s="158"/>
      <c r="DE162" s="158"/>
      <c r="DF162" s="158"/>
      <c r="DG162" s="158"/>
      <c r="DH162" s="154" t="str">
        <f>'Pelan Pengambilan'!AF84</f>
        <v/>
      </c>
      <c r="DI162" s="154"/>
      <c r="DJ162" s="3">
        <f>IFERROR(MIN('Pelan Pengambilan'!H84,'Pelan Pengambilan'!J84,'Pelan Pengambilan'!L84,'Pelan Pengambilan'!N84,'Pelan Pengambilan'!P84,'Pelan Pengambilan'!R84,'Pelan Pengambilan'!T84,'Pelan Pengambilan'!V84,'Pelan Pengambilan'!X84,'Pelan Pengambilan'!Z84,'Pelan Pengambilan'!AB84,'Pelan Pengambilan'!AD84),"")</f>
        <v>0</v>
      </c>
      <c r="DK162" s="3">
        <f>IFERROR(MAX('Pelan Pengambilan'!H84,'Pelan Pengambilan'!J84,'Pelan Pengambilan'!L84,'Pelan Pengambilan'!N84,'Pelan Pengambilan'!P84,'Pelan Pengambilan'!R84,'Pelan Pengambilan'!T84,'Pelan Pengambilan'!V84,'Pelan Pengambilan'!X84,'Pelan Pengambilan'!Z84,'Pelan Pengambilan'!AB84,'Pelan Pengambilan'!AD84),"")</f>
        <v>0</v>
      </c>
      <c r="DL162" s="3">
        <f>IFERROR(MIN('Pelan Pengambilan'!I84,'Pelan Pengambilan'!K84,'Pelan Pengambilan'!M84,'Pelan Pengambilan'!O84,'Pelan Pengambilan'!Q84,'Pelan Pengambilan'!S84,'Pelan Pengambilan'!U84,'Pelan Pengambilan'!W84,'Pelan Pengambilan'!Y84,'Pelan Pengambilan'!AA84,'Pelan Pengambilan'!AC84,'Pelan Pengambilan'!AE84),"")</f>
        <v>0</v>
      </c>
      <c r="DM162" s="3">
        <f>IFERROR(MAX('Pelan Pengambilan'!I84,'Pelan Pengambilan'!K84,'Pelan Pengambilan'!M84,'Pelan Pengambilan'!O84,'Pelan Pengambilan'!Q84,'Pelan Pengambilan'!S84,'Pelan Pengambilan'!U84,'Pelan Pengambilan'!W84,'Pelan Pengambilan'!Y84,'Pelan Pengambilan'!AA84,'Pelan Pengambilan'!AC84,'Pelan Pengambilan'!AE84),"")</f>
        <v>0</v>
      </c>
    </row>
    <row r="163" ht="19.5" customHeight="1">
      <c r="A163" s="41"/>
      <c r="B163" s="41"/>
      <c r="C163" s="41"/>
      <c r="D163" s="155" t="s">
        <v>276</v>
      </c>
      <c r="E163" s="41"/>
      <c r="F163" s="41"/>
      <c r="G163" s="158"/>
      <c r="H163" s="158"/>
      <c r="I163" s="158"/>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c r="CS163" s="158"/>
      <c r="CT163" s="158"/>
      <c r="CU163" s="158"/>
      <c r="CV163" s="158"/>
      <c r="CW163" s="158"/>
      <c r="CX163" s="158"/>
      <c r="CY163" s="158"/>
      <c r="CZ163" s="158"/>
      <c r="DA163" s="158"/>
      <c r="DB163" s="158"/>
      <c r="DC163" s="158"/>
      <c r="DD163" s="158"/>
      <c r="DE163" s="158"/>
      <c r="DF163" s="158"/>
      <c r="DG163" s="158"/>
      <c r="DH163" s="41"/>
      <c r="DI163" s="41"/>
      <c r="DJ163" s="3"/>
      <c r="DK163" s="3"/>
      <c r="DL163" s="3"/>
      <c r="DM163" s="3"/>
    </row>
    <row r="164" ht="19.5" customHeight="1">
      <c r="A164" s="153" t="str">
        <f>'Pelan Pengambilan'!B85</f>
        <v/>
      </c>
      <c r="B164" s="154" t="str">
        <f>'Pelan Pengambilan'!C85</f>
        <v/>
      </c>
      <c r="C164" s="153" t="str">
        <f t="array" ref="C164">IFERROR(IF(INDEX(Strategi!$F$5:$F$134,MATCH(LARGE(Strategi!$K$5:$K$134,80),Strategi!$K$5:$K$134,0))="","","("&amp;COUNTIFS('Pelan Pengambilan'!$B$6:$B$85,'Pelan Pengambilan'!$B85,'Pelan Pengambilan'!$C$6:$C$85,'Pelan Pengambilan'!$C85)&amp;") "&amp;INDEX(Strategi!$F$5:$F$134,MATCH(LARGE(Strategi!$K$5:$K$134,80),Strategi!$K$5:$K$134,0))),"")</f>
        <v/>
      </c>
      <c r="D164" s="155" t="s">
        <v>275</v>
      </c>
      <c r="E164" s="156" t="str">
        <f>IFERROR(IF(COUNT('Pelan Pengambilan'!H85,'Pelan Pengambilan'!J85,'Pelan Pengambilan'!L85,'Pelan Pengambilan'!N85,'Pelan Pengambilan'!P85,'Pelan Pengambilan'!R85,'Pelan Pengambilan'!T85,'Pelan Pengambilan'!V85,'Pelan Pengambilan'!X85,'Pelan Pengambilan'!Z85,'Pelan Pengambilan'!AB85,'Pelan Pengambilan'!AD85)=0,"",COUNT('Pelan Pengambilan'!I85,'Pelan Pengambilan'!K85,'Pelan Pengambilan'!M85,'Pelan Pengambilan'!O85,'Pelan Pengambilan'!Q85,'Pelan Pengambilan'!S85,'Pelan Pengambilan'!U85,'Pelan Pengambilan'!W85,'Pelan Pengambilan'!Y85,'Pelan Pengambilan'!AA85,'Pelan Pengambilan'!AC85,'Pelan Pengambilan'!AE85)/COUNT('Pelan Pengambilan'!H85,'Pelan Pengambilan'!J85,'Pelan Pengambilan'!L85,'Pelan Pengambilan'!N85,'Pelan Pengambilan'!P85,'Pelan Pengambilan'!R85,'Pelan Pengambilan'!T85,'Pelan Pengambilan'!V85,'Pelan Pengambilan'!X85,'Pelan Pengambilan'!Z85,'Pelan Pengambilan'!AB85,'Pelan Pengambilan'!AD85)),"")</f>
        <v/>
      </c>
      <c r="F164" s="157" t="str">
        <f>IFERROR(IF('Pelan Pengambilan'!G85="","",'Pelan Pengambilan'!G85),"")</f>
        <v/>
      </c>
      <c r="G164" s="158"/>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c r="CS164" s="158"/>
      <c r="CT164" s="158"/>
      <c r="CU164" s="158"/>
      <c r="CV164" s="158"/>
      <c r="CW164" s="158"/>
      <c r="CX164" s="158"/>
      <c r="CY164" s="158"/>
      <c r="CZ164" s="158"/>
      <c r="DA164" s="158"/>
      <c r="DB164" s="158"/>
      <c r="DC164" s="158"/>
      <c r="DD164" s="158"/>
      <c r="DE164" s="158"/>
      <c r="DF164" s="158"/>
      <c r="DG164" s="158"/>
      <c r="DH164" s="154" t="str">
        <f>'Pelan Pengambilan'!AF85</f>
        <v/>
      </c>
      <c r="DI164" s="154"/>
      <c r="DJ164" s="3">
        <f>IFERROR(MIN('Pelan Pengambilan'!H85,'Pelan Pengambilan'!J85,'Pelan Pengambilan'!L85,'Pelan Pengambilan'!N85,'Pelan Pengambilan'!P85,'Pelan Pengambilan'!R85,'Pelan Pengambilan'!T85,'Pelan Pengambilan'!V85,'Pelan Pengambilan'!X85,'Pelan Pengambilan'!Z85,'Pelan Pengambilan'!AB85,'Pelan Pengambilan'!AD85),"")</f>
        <v>0</v>
      </c>
      <c r="DK164" s="3">
        <f>IFERROR(MAX('Pelan Pengambilan'!H85,'Pelan Pengambilan'!J85,'Pelan Pengambilan'!L85,'Pelan Pengambilan'!N85,'Pelan Pengambilan'!P85,'Pelan Pengambilan'!R85,'Pelan Pengambilan'!T85,'Pelan Pengambilan'!V85,'Pelan Pengambilan'!X85,'Pelan Pengambilan'!Z85,'Pelan Pengambilan'!AB85,'Pelan Pengambilan'!AD85),"")</f>
        <v>0</v>
      </c>
      <c r="DL164" s="3">
        <f>IFERROR(MIN('Pelan Pengambilan'!I85,'Pelan Pengambilan'!K85,'Pelan Pengambilan'!M85,'Pelan Pengambilan'!O85,'Pelan Pengambilan'!Q85,'Pelan Pengambilan'!S85,'Pelan Pengambilan'!U85,'Pelan Pengambilan'!W85,'Pelan Pengambilan'!Y85,'Pelan Pengambilan'!AA85,'Pelan Pengambilan'!AC85,'Pelan Pengambilan'!AE85),"")</f>
        <v>0</v>
      </c>
      <c r="DM164" s="3">
        <f>IFERROR(MAX('Pelan Pengambilan'!I85,'Pelan Pengambilan'!K85,'Pelan Pengambilan'!M85,'Pelan Pengambilan'!O85,'Pelan Pengambilan'!Q85,'Pelan Pengambilan'!S85,'Pelan Pengambilan'!U85,'Pelan Pengambilan'!W85,'Pelan Pengambilan'!Y85,'Pelan Pengambilan'!AA85,'Pelan Pengambilan'!AC85,'Pelan Pengambilan'!AE85),"")</f>
        <v>0</v>
      </c>
    </row>
    <row r="165" ht="19.5" customHeight="1">
      <c r="A165" s="41"/>
      <c r="B165" s="41"/>
      <c r="C165" s="41"/>
      <c r="D165" s="155" t="s">
        <v>276</v>
      </c>
      <c r="E165" s="41"/>
      <c r="F165" s="41"/>
      <c r="G165" s="158"/>
      <c r="H165" s="158"/>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c r="CS165" s="158"/>
      <c r="CT165" s="158"/>
      <c r="CU165" s="158"/>
      <c r="CV165" s="158"/>
      <c r="CW165" s="158"/>
      <c r="CX165" s="158"/>
      <c r="CY165" s="158"/>
      <c r="CZ165" s="158"/>
      <c r="DA165" s="158"/>
      <c r="DB165" s="158"/>
      <c r="DC165" s="158"/>
      <c r="DD165" s="158"/>
      <c r="DE165" s="158"/>
      <c r="DF165" s="158"/>
      <c r="DG165" s="158"/>
      <c r="DH165" s="41"/>
      <c r="DI165" s="41"/>
      <c r="DJ165" s="3"/>
      <c r="DK165" s="3"/>
      <c r="DL165" s="3"/>
      <c r="DM165" s="3"/>
    </row>
    <row r="166" ht="19.5" customHeight="1">
      <c r="A166" s="153" t="str">
        <f>'Pelan Pengambilan'!B86</f>
        <v/>
      </c>
      <c r="B166" s="154" t="str">
        <f>'Pelan Pengambilan'!C86</f>
        <v/>
      </c>
      <c r="C166" s="153" t="str">
        <f t="array" ref="C166">IFERROR(IF(INDEX(Strategi!$F$5:$F$134,MATCH(LARGE(Strategi!$K$5:$K$134,81),Strategi!$K$5:$K$134,0))="","","("&amp;COUNTIFS('Pelan Pengambilan'!$B$6:$B$86,'Pelan Pengambilan'!$B86,'Pelan Pengambilan'!$C$6:$C$86,'Pelan Pengambilan'!$C86)&amp;") "&amp;INDEX(Strategi!$F$5:$F$134,MATCH(LARGE(Strategi!$K$5:$K$134,81),Strategi!$K$5:$K$134,0))),"")</f>
        <v/>
      </c>
      <c r="D166" s="155" t="s">
        <v>275</v>
      </c>
      <c r="E166" s="156" t="str">
        <f>IFERROR(IF(COUNT('Pelan Pengambilan'!H86,'Pelan Pengambilan'!J86,'Pelan Pengambilan'!L86,'Pelan Pengambilan'!N86,'Pelan Pengambilan'!P86,'Pelan Pengambilan'!R86,'Pelan Pengambilan'!T86,'Pelan Pengambilan'!V86,'Pelan Pengambilan'!X86,'Pelan Pengambilan'!Z86,'Pelan Pengambilan'!AB86,'Pelan Pengambilan'!AD86)=0,"",COUNT('Pelan Pengambilan'!I86,'Pelan Pengambilan'!K86,'Pelan Pengambilan'!M86,'Pelan Pengambilan'!O86,'Pelan Pengambilan'!Q86,'Pelan Pengambilan'!S86,'Pelan Pengambilan'!U86,'Pelan Pengambilan'!W86,'Pelan Pengambilan'!Y86,'Pelan Pengambilan'!AA86,'Pelan Pengambilan'!AC86,'Pelan Pengambilan'!AE86)/COUNT('Pelan Pengambilan'!H86,'Pelan Pengambilan'!J86,'Pelan Pengambilan'!L86,'Pelan Pengambilan'!N86,'Pelan Pengambilan'!P86,'Pelan Pengambilan'!R86,'Pelan Pengambilan'!T86,'Pelan Pengambilan'!V86,'Pelan Pengambilan'!X86,'Pelan Pengambilan'!Z86,'Pelan Pengambilan'!AB86,'Pelan Pengambilan'!AD86)),"")</f>
        <v/>
      </c>
      <c r="F166" s="157" t="str">
        <f>IFERROR(IF('Pelan Pengambilan'!G86="","",'Pelan Pengambilan'!G86),"")</f>
        <v/>
      </c>
      <c r="G166" s="158"/>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c r="CS166" s="158"/>
      <c r="CT166" s="158"/>
      <c r="CU166" s="158"/>
      <c r="CV166" s="158"/>
      <c r="CW166" s="158"/>
      <c r="CX166" s="158"/>
      <c r="CY166" s="158"/>
      <c r="CZ166" s="158"/>
      <c r="DA166" s="158"/>
      <c r="DB166" s="158"/>
      <c r="DC166" s="158"/>
      <c r="DD166" s="158"/>
      <c r="DE166" s="158"/>
      <c r="DF166" s="158"/>
      <c r="DG166" s="158"/>
      <c r="DH166" s="154" t="str">
        <f>'Pelan Pengambilan'!AF86</f>
        <v/>
      </c>
      <c r="DI166" s="154"/>
      <c r="DJ166" s="3">
        <f>IFERROR(MIN('Pelan Pengambilan'!H86,'Pelan Pengambilan'!J86,'Pelan Pengambilan'!L86,'Pelan Pengambilan'!N86,'Pelan Pengambilan'!P86,'Pelan Pengambilan'!R86,'Pelan Pengambilan'!T86,'Pelan Pengambilan'!V86,'Pelan Pengambilan'!X86,'Pelan Pengambilan'!Z86,'Pelan Pengambilan'!AB86,'Pelan Pengambilan'!AD86),"")</f>
        <v>0</v>
      </c>
      <c r="DK166" s="3">
        <f>IFERROR(MAX('Pelan Pengambilan'!H86,'Pelan Pengambilan'!J86,'Pelan Pengambilan'!L86,'Pelan Pengambilan'!N86,'Pelan Pengambilan'!P86,'Pelan Pengambilan'!R86,'Pelan Pengambilan'!T86,'Pelan Pengambilan'!V86,'Pelan Pengambilan'!X86,'Pelan Pengambilan'!Z86,'Pelan Pengambilan'!AB86,'Pelan Pengambilan'!AD86),"")</f>
        <v>0</v>
      </c>
      <c r="DL166" s="3">
        <f>IFERROR(MIN('Pelan Pengambilan'!I86,'Pelan Pengambilan'!K86,'Pelan Pengambilan'!M86,'Pelan Pengambilan'!O86,'Pelan Pengambilan'!Q86,'Pelan Pengambilan'!S86,'Pelan Pengambilan'!U86,'Pelan Pengambilan'!W86,'Pelan Pengambilan'!Y86,'Pelan Pengambilan'!AA86,'Pelan Pengambilan'!AC86,'Pelan Pengambilan'!AE86),"")</f>
        <v>0</v>
      </c>
      <c r="DM166" s="3">
        <f>IFERROR(MAX('Pelan Pengambilan'!I86,'Pelan Pengambilan'!K86,'Pelan Pengambilan'!M86,'Pelan Pengambilan'!O86,'Pelan Pengambilan'!Q86,'Pelan Pengambilan'!S86,'Pelan Pengambilan'!U86,'Pelan Pengambilan'!W86,'Pelan Pengambilan'!Y86,'Pelan Pengambilan'!AA86,'Pelan Pengambilan'!AC86,'Pelan Pengambilan'!AE86),"")</f>
        <v>0</v>
      </c>
    </row>
    <row r="167" ht="19.5" customHeight="1">
      <c r="A167" s="41"/>
      <c r="B167" s="41"/>
      <c r="C167" s="41"/>
      <c r="D167" s="155" t="s">
        <v>276</v>
      </c>
      <c r="E167" s="41"/>
      <c r="F167" s="41"/>
      <c r="G167" s="158"/>
      <c r="H167" s="158"/>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c r="CS167" s="158"/>
      <c r="CT167" s="158"/>
      <c r="CU167" s="158"/>
      <c r="CV167" s="158"/>
      <c r="CW167" s="158"/>
      <c r="CX167" s="158"/>
      <c r="CY167" s="158"/>
      <c r="CZ167" s="158"/>
      <c r="DA167" s="158"/>
      <c r="DB167" s="158"/>
      <c r="DC167" s="158"/>
      <c r="DD167" s="158"/>
      <c r="DE167" s="158"/>
      <c r="DF167" s="158"/>
      <c r="DG167" s="158"/>
      <c r="DH167" s="41"/>
      <c r="DI167" s="41"/>
      <c r="DJ167" s="3"/>
      <c r="DK167" s="3"/>
      <c r="DL167" s="3"/>
      <c r="DM167" s="3"/>
    </row>
    <row r="168" ht="19.5" customHeight="1">
      <c r="A168" s="153" t="str">
        <f>'Pelan Pengambilan'!B87</f>
        <v/>
      </c>
      <c r="B168" s="154" t="str">
        <f>'Pelan Pengambilan'!C87</f>
        <v/>
      </c>
      <c r="C168" s="153" t="str">
        <f t="array" ref="C168">IFERROR(IF(INDEX(Strategi!$F$5:$F$134,MATCH(LARGE(Strategi!$K$5:$K$134,82),Strategi!$K$5:$K$134,0))="","","("&amp;COUNTIFS('Pelan Pengambilan'!$B$6:$B$87,'Pelan Pengambilan'!$B87,'Pelan Pengambilan'!$C$6:$C$87,'Pelan Pengambilan'!$C87)&amp;") "&amp;INDEX(Strategi!$F$5:$F$134,MATCH(LARGE(Strategi!$K$5:$K$134,82),Strategi!$K$5:$K$134,0))),"")</f>
        <v/>
      </c>
      <c r="D168" s="155" t="s">
        <v>275</v>
      </c>
      <c r="E168" s="156" t="str">
        <f>IFERROR(IF(COUNT('Pelan Pengambilan'!H87,'Pelan Pengambilan'!J87,'Pelan Pengambilan'!L87,'Pelan Pengambilan'!N87,'Pelan Pengambilan'!P87,'Pelan Pengambilan'!R87,'Pelan Pengambilan'!T87,'Pelan Pengambilan'!V87,'Pelan Pengambilan'!X87,'Pelan Pengambilan'!Z87,'Pelan Pengambilan'!AB87,'Pelan Pengambilan'!AD87)=0,"",COUNT('Pelan Pengambilan'!I87,'Pelan Pengambilan'!K87,'Pelan Pengambilan'!M87,'Pelan Pengambilan'!O87,'Pelan Pengambilan'!Q87,'Pelan Pengambilan'!S87,'Pelan Pengambilan'!U87,'Pelan Pengambilan'!W87,'Pelan Pengambilan'!Y87,'Pelan Pengambilan'!AA87,'Pelan Pengambilan'!AC87,'Pelan Pengambilan'!AE87)/COUNT('Pelan Pengambilan'!H87,'Pelan Pengambilan'!J87,'Pelan Pengambilan'!L87,'Pelan Pengambilan'!N87,'Pelan Pengambilan'!P87,'Pelan Pengambilan'!R87,'Pelan Pengambilan'!T87,'Pelan Pengambilan'!V87,'Pelan Pengambilan'!X87,'Pelan Pengambilan'!Z87,'Pelan Pengambilan'!AB87,'Pelan Pengambilan'!AD87)),"")</f>
        <v/>
      </c>
      <c r="F168" s="157" t="str">
        <f>IFERROR(IF('Pelan Pengambilan'!G87="","",'Pelan Pengambilan'!G87),"")</f>
        <v/>
      </c>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c r="CS168" s="158"/>
      <c r="CT168" s="158"/>
      <c r="CU168" s="158"/>
      <c r="CV168" s="158"/>
      <c r="CW168" s="158"/>
      <c r="CX168" s="158"/>
      <c r="CY168" s="158"/>
      <c r="CZ168" s="158"/>
      <c r="DA168" s="158"/>
      <c r="DB168" s="158"/>
      <c r="DC168" s="158"/>
      <c r="DD168" s="158"/>
      <c r="DE168" s="158"/>
      <c r="DF168" s="158"/>
      <c r="DG168" s="158"/>
      <c r="DH168" s="154" t="str">
        <f>'Pelan Pengambilan'!AF87</f>
        <v/>
      </c>
      <c r="DI168" s="154"/>
      <c r="DJ168" s="3">
        <f>IFERROR(MIN('Pelan Pengambilan'!H87,'Pelan Pengambilan'!J87,'Pelan Pengambilan'!L87,'Pelan Pengambilan'!N87,'Pelan Pengambilan'!P87,'Pelan Pengambilan'!R87,'Pelan Pengambilan'!T87,'Pelan Pengambilan'!V87,'Pelan Pengambilan'!X87,'Pelan Pengambilan'!Z87,'Pelan Pengambilan'!AB87,'Pelan Pengambilan'!AD87),"")</f>
        <v>0</v>
      </c>
      <c r="DK168" s="3">
        <f>IFERROR(MAX('Pelan Pengambilan'!H87,'Pelan Pengambilan'!J87,'Pelan Pengambilan'!L87,'Pelan Pengambilan'!N87,'Pelan Pengambilan'!P87,'Pelan Pengambilan'!R87,'Pelan Pengambilan'!T87,'Pelan Pengambilan'!V87,'Pelan Pengambilan'!X87,'Pelan Pengambilan'!Z87,'Pelan Pengambilan'!AB87,'Pelan Pengambilan'!AD87),"")</f>
        <v>0</v>
      </c>
      <c r="DL168" s="3">
        <f>IFERROR(MIN('Pelan Pengambilan'!I87,'Pelan Pengambilan'!K87,'Pelan Pengambilan'!M87,'Pelan Pengambilan'!O87,'Pelan Pengambilan'!Q87,'Pelan Pengambilan'!S87,'Pelan Pengambilan'!U87,'Pelan Pengambilan'!W87,'Pelan Pengambilan'!Y87,'Pelan Pengambilan'!AA87,'Pelan Pengambilan'!AC87,'Pelan Pengambilan'!AE87),"")</f>
        <v>0</v>
      </c>
      <c r="DM168" s="3">
        <f>IFERROR(MAX('Pelan Pengambilan'!I87,'Pelan Pengambilan'!K87,'Pelan Pengambilan'!M87,'Pelan Pengambilan'!O87,'Pelan Pengambilan'!Q87,'Pelan Pengambilan'!S87,'Pelan Pengambilan'!U87,'Pelan Pengambilan'!W87,'Pelan Pengambilan'!Y87,'Pelan Pengambilan'!AA87,'Pelan Pengambilan'!AC87,'Pelan Pengambilan'!AE87),"")</f>
        <v>0</v>
      </c>
    </row>
    <row r="169" ht="19.5" customHeight="1">
      <c r="A169" s="41"/>
      <c r="B169" s="41"/>
      <c r="C169" s="41"/>
      <c r="D169" s="155" t="s">
        <v>276</v>
      </c>
      <c r="E169" s="41"/>
      <c r="F169" s="41"/>
      <c r="G169" s="158"/>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c r="CS169" s="158"/>
      <c r="CT169" s="158"/>
      <c r="CU169" s="158"/>
      <c r="CV169" s="158"/>
      <c r="CW169" s="158"/>
      <c r="CX169" s="158"/>
      <c r="CY169" s="158"/>
      <c r="CZ169" s="158"/>
      <c r="DA169" s="158"/>
      <c r="DB169" s="158"/>
      <c r="DC169" s="158"/>
      <c r="DD169" s="158"/>
      <c r="DE169" s="158"/>
      <c r="DF169" s="158"/>
      <c r="DG169" s="158"/>
      <c r="DH169" s="41"/>
      <c r="DI169" s="41"/>
      <c r="DJ169" s="3"/>
      <c r="DK169" s="3"/>
      <c r="DL169" s="3"/>
      <c r="DM169" s="3"/>
    </row>
    <row r="170" ht="19.5" customHeight="1">
      <c r="A170" s="153" t="str">
        <f>'Pelan Pengambilan'!B88</f>
        <v/>
      </c>
      <c r="B170" s="154" t="str">
        <f>'Pelan Pengambilan'!C88</f>
        <v/>
      </c>
      <c r="C170" s="153" t="str">
        <f t="array" ref="C170">IFERROR(IF(INDEX(Strategi!$F$5:$F$134,MATCH(LARGE(Strategi!$K$5:$K$134,83),Strategi!$K$5:$K$134,0))="","","("&amp;COUNTIFS('Pelan Pengambilan'!$B$6:$B$88,'Pelan Pengambilan'!$B88,'Pelan Pengambilan'!$C$6:$C$88,'Pelan Pengambilan'!$C88)&amp;") "&amp;INDEX(Strategi!$F$5:$F$134,MATCH(LARGE(Strategi!$K$5:$K$134,83),Strategi!$K$5:$K$134,0))),"")</f>
        <v/>
      </c>
      <c r="D170" s="155" t="s">
        <v>275</v>
      </c>
      <c r="E170" s="156" t="str">
        <f>IFERROR(IF(COUNT('Pelan Pengambilan'!H88,'Pelan Pengambilan'!J88,'Pelan Pengambilan'!L88,'Pelan Pengambilan'!N88,'Pelan Pengambilan'!P88,'Pelan Pengambilan'!R88,'Pelan Pengambilan'!T88,'Pelan Pengambilan'!V88,'Pelan Pengambilan'!X88,'Pelan Pengambilan'!Z88,'Pelan Pengambilan'!AB88,'Pelan Pengambilan'!AD88)=0,"",COUNT('Pelan Pengambilan'!I88,'Pelan Pengambilan'!K88,'Pelan Pengambilan'!M88,'Pelan Pengambilan'!O88,'Pelan Pengambilan'!Q88,'Pelan Pengambilan'!S88,'Pelan Pengambilan'!U88,'Pelan Pengambilan'!W88,'Pelan Pengambilan'!Y88,'Pelan Pengambilan'!AA88,'Pelan Pengambilan'!AC88,'Pelan Pengambilan'!AE88)/COUNT('Pelan Pengambilan'!H88,'Pelan Pengambilan'!J88,'Pelan Pengambilan'!L88,'Pelan Pengambilan'!N88,'Pelan Pengambilan'!P88,'Pelan Pengambilan'!R88,'Pelan Pengambilan'!T88,'Pelan Pengambilan'!V88,'Pelan Pengambilan'!X88,'Pelan Pengambilan'!Z88,'Pelan Pengambilan'!AB88,'Pelan Pengambilan'!AD88)),"")</f>
        <v/>
      </c>
      <c r="F170" s="157" t="str">
        <f>IFERROR(IF('Pelan Pengambilan'!G88="","",'Pelan Pengambilan'!G88),"")</f>
        <v/>
      </c>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c r="CS170" s="158"/>
      <c r="CT170" s="158"/>
      <c r="CU170" s="158"/>
      <c r="CV170" s="158"/>
      <c r="CW170" s="158"/>
      <c r="CX170" s="158"/>
      <c r="CY170" s="158"/>
      <c r="CZ170" s="158"/>
      <c r="DA170" s="158"/>
      <c r="DB170" s="158"/>
      <c r="DC170" s="158"/>
      <c r="DD170" s="158"/>
      <c r="DE170" s="158"/>
      <c r="DF170" s="158"/>
      <c r="DG170" s="158"/>
      <c r="DH170" s="154" t="str">
        <f>'Pelan Pengambilan'!AF88</f>
        <v/>
      </c>
      <c r="DI170" s="154"/>
      <c r="DJ170" s="3">
        <f>IFERROR(MIN('Pelan Pengambilan'!H88,'Pelan Pengambilan'!J88,'Pelan Pengambilan'!L88,'Pelan Pengambilan'!N88,'Pelan Pengambilan'!P88,'Pelan Pengambilan'!R88,'Pelan Pengambilan'!T88,'Pelan Pengambilan'!V88,'Pelan Pengambilan'!X88,'Pelan Pengambilan'!Z88,'Pelan Pengambilan'!AB88,'Pelan Pengambilan'!AD88),"")</f>
        <v>0</v>
      </c>
      <c r="DK170" s="3">
        <f>IFERROR(MAX('Pelan Pengambilan'!H88,'Pelan Pengambilan'!J88,'Pelan Pengambilan'!L88,'Pelan Pengambilan'!N88,'Pelan Pengambilan'!P88,'Pelan Pengambilan'!R88,'Pelan Pengambilan'!T88,'Pelan Pengambilan'!V88,'Pelan Pengambilan'!X88,'Pelan Pengambilan'!Z88,'Pelan Pengambilan'!AB88,'Pelan Pengambilan'!AD88),"")</f>
        <v>0</v>
      </c>
      <c r="DL170" s="3">
        <f>IFERROR(MIN('Pelan Pengambilan'!I88,'Pelan Pengambilan'!K88,'Pelan Pengambilan'!M88,'Pelan Pengambilan'!O88,'Pelan Pengambilan'!Q88,'Pelan Pengambilan'!S88,'Pelan Pengambilan'!U88,'Pelan Pengambilan'!W88,'Pelan Pengambilan'!Y88,'Pelan Pengambilan'!AA88,'Pelan Pengambilan'!AC88,'Pelan Pengambilan'!AE88),"")</f>
        <v>0</v>
      </c>
      <c r="DM170" s="3">
        <f>IFERROR(MAX('Pelan Pengambilan'!I88,'Pelan Pengambilan'!K88,'Pelan Pengambilan'!M88,'Pelan Pengambilan'!O88,'Pelan Pengambilan'!Q88,'Pelan Pengambilan'!S88,'Pelan Pengambilan'!U88,'Pelan Pengambilan'!W88,'Pelan Pengambilan'!Y88,'Pelan Pengambilan'!AA88,'Pelan Pengambilan'!AC88,'Pelan Pengambilan'!AE88),"")</f>
        <v>0</v>
      </c>
    </row>
    <row r="171" ht="19.5" customHeight="1">
      <c r="A171" s="41"/>
      <c r="B171" s="41"/>
      <c r="C171" s="41"/>
      <c r="D171" s="155" t="s">
        <v>276</v>
      </c>
      <c r="E171" s="41"/>
      <c r="F171" s="41"/>
      <c r="G171" s="158"/>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158"/>
      <c r="CS171" s="158"/>
      <c r="CT171" s="158"/>
      <c r="CU171" s="158"/>
      <c r="CV171" s="158"/>
      <c r="CW171" s="158"/>
      <c r="CX171" s="158"/>
      <c r="CY171" s="158"/>
      <c r="CZ171" s="158"/>
      <c r="DA171" s="158"/>
      <c r="DB171" s="158"/>
      <c r="DC171" s="158"/>
      <c r="DD171" s="158"/>
      <c r="DE171" s="158"/>
      <c r="DF171" s="158"/>
      <c r="DG171" s="158"/>
      <c r="DH171" s="41"/>
      <c r="DI171" s="41"/>
      <c r="DJ171" s="3"/>
      <c r="DK171" s="3"/>
      <c r="DL171" s="3"/>
      <c r="DM171" s="3"/>
    </row>
    <row r="172" ht="19.5" customHeight="1">
      <c r="A172" s="153" t="str">
        <f>'Pelan Pengambilan'!B89</f>
        <v/>
      </c>
      <c r="B172" s="154" t="str">
        <f>'Pelan Pengambilan'!C89</f>
        <v/>
      </c>
      <c r="C172" s="153" t="str">
        <f t="array" ref="C172">IFERROR(IF(INDEX(Strategi!$F$5:$F$134,MATCH(LARGE(Strategi!$K$5:$K$134,84),Strategi!$K$5:$K$134,0))="","","("&amp;COUNTIFS('Pelan Pengambilan'!$B$6:$B$89,'Pelan Pengambilan'!$B89,'Pelan Pengambilan'!$C$6:$C$89,'Pelan Pengambilan'!$C89)&amp;") "&amp;INDEX(Strategi!$F$5:$F$134,MATCH(LARGE(Strategi!$K$5:$K$134,84),Strategi!$K$5:$K$134,0))),"")</f>
        <v/>
      </c>
      <c r="D172" s="155" t="s">
        <v>275</v>
      </c>
      <c r="E172" s="156" t="str">
        <f>IFERROR(IF(COUNT('Pelan Pengambilan'!H89,'Pelan Pengambilan'!J89,'Pelan Pengambilan'!L89,'Pelan Pengambilan'!N89,'Pelan Pengambilan'!P89,'Pelan Pengambilan'!R89,'Pelan Pengambilan'!T89,'Pelan Pengambilan'!V89,'Pelan Pengambilan'!X89,'Pelan Pengambilan'!Z89,'Pelan Pengambilan'!AB89,'Pelan Pengambilan'!AD89)=0,"",COUNT('Pelan Pengambilan'!I89,'Pelan Pengambilan'!K89,'Pelan Pengambilan'!M89,'Pelan Pengambilan'!O89,'Pelan Pengambilan'!Q89,'Pelan Pengambilan'!S89,'Pelan Pengambilan'!U89,'Pelan Pengambilan'!W89,'Pelan Pengambilan'!Y89,'Pelan Pengambilan'!AA89,'Pelan Pengambilan'!AC89,'Pelan Pengambilan'!AE89)/COUNT('Pelan Pengambilan'!H89,'Pelan Pengambilan'!J89,'Pelan Pengambilan'!L89,'Pelan Pengambilan'!N89,'Pelan Pengambilan'!P89,'Pelan Pengambilan'!R89,'Pelan Pengambilan'!T89,'Pelan Pengambilan'!V89,'Pelan Pengambilan'!X89,'Pelan Pengambilan'!Z89,'Pelan Pengambilan'!AB89,'Pelan Pengambilan'!AD89)),"")</f>
        <v/>
      </c>
      <c r="F172" s="157" t="str">
        <f>IFERROR(IF('Pelan Pengambilan'!G89="","",'Pelan Pengambilan'!G89),"")</f>
        <v/>
      </c>
      <c r="G172" s="158"/>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c r="CS172" s="158"/>
      <c r="CT172" s="158"/>
      <c r="CU172" s="158"/>
      <c r="CV172" s="158"/>
      <c r="CW172" s="158"/>
      <c r="CX172" s="158"/>
      <c r="CY172" s="158"/>
      <c r="CZ172" s="158"/>
      <c r="DA172" s="158"/>
      <c r="DB172" s="158"/>
      <c r="DC172" s="158"/>
      <c r="DD172" s="158"/>
      <c r="DE172" s="158"/>
      <c r="DF172" s="158"/>
      <c r="DG172" s="158"/>
      <c r="DH172" s="154" t="str">
        <f>'Pelan Pengambilan'!AF89</f>
        <v/>
      </c>
      <c r="DI172" s="154"/>
      <c r="DJ172" s="3">
        <f>IFERROR(MIN('Pelan Pengambilan'!H89,'Pelan Pengambilan'!J89,'Pelan Pengambilan'!L89,'Pelan Pengambilan'!N89,'Pelan Pengambilan'!P89,'Pelan Pengambilan'!R89,'Pelan Pengambilan'!T89,'Pelan Pengambilan'!V89,'Pelan Pengambilan'!X89,'Pelan Pengambilan'!Z89,'Pelan Pengambilan'!AB89,'Pelan Pengambilan'!AD89),"")</f>
        <v>0</v>
      </c>
      <c r="DK172" s="3">
        <f>IFERROR(MAX('Pelan Pengambilan'!H89,'Pelan Pengambilan'!J89,'Pelan Pengambilan'!L89,'Pelan Pengambilan'!N89,'Pelan Pengambilan'!P89,'Pelan Pengambilan'!R89,'Pelan Pengambilan'!T89,'Pelan Pengambilan'!V89,'Pelan Pengambilan'!X89,'Pelan Pengambilan'!Z89,'Pelan Pengambilan'!AB89,'Pelan Pengambilan'!AD89),"")</f>
        <v>0</v>
      </c>
      <c r="DL172" s="3">
        <f>IFERROR(MIN('Pelan Pengambilan'!I89,'Pelan Pengambilan'!K89,'Pelan Pengambilan'!M89,'Pelan Pengambilan'!O89,'Pelan Pengambilan'!Q89,'Pelan Pengambilan'!S89,'Pelan Pengambilan'!U89,'Pelan Pengambilan'!W89,'Pelan Pengambilan'!Y89,'Pelan Pengambilan'!AA89,'Pelan Pengambilan'!AC89,'Pelan Pengambilan'!AE89),"")</f>
        <v>0</v>
      </c>
      <c r="DM172" s="3">
        <f>IFERROR(MAX('Pelan Pengambilan'!I89,'Pelan Pengambilan'!K89,'Pelan Pengambilan'!M89,'Pelan Pengambilan'!O89,'Pelan Pengambilan'!Q89,'Pelan Pengambilan'!S89,'Pelan Pengambilan'!U89,'Pelan Pengambilan'!W89,'Pelan Pengambilan'!Y89,'Pelan Pengambilan'!AA89,'Pelan Pengambilan'!AC89,'Pelan Pengambilan'!AE89),"")</f>
        <v>0</v>
      </c>
    </row>
    <row r="173" ht="19.5" customHeight="1">
      <c r="A173" s="41"/>
      <c r="B173" s="41"/>
      <c r="C173" s="41"/>
      <c r="D173" s="155" t="s">
        <v>276</v>
      </c>
      <c r="E173" s="41"/>
      <c r="F173" s="41"/>
      <c r="G173" s="158"/>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c r="CR173" s="158"/>
      <c r="CS173" s="158"/>
      <c r="CT173" s="158"/>
      <c r="CU173" s="158"/>
      <c r="CV173" s="158"/>
      <c r="CW173" s="158"/>
      <c r="CX173" s="158"/>
      <c r="CY173" s="158"/>
      <c r="CZ173" s="158"/>
      <c r="DA173" s="158"/>
      <c r="DB173" s="158"/>
      <c r="DC173" s="158"/>
      <c r="DD173" s="158"/>
      <c r="DE173" s="158"/>
      <c r="DF173" s="158"/>
      <c r="DG173" s="158"/>
      <c r="DH173" s="41"/>
      <c r="DI173" s="41"/>
      <c r="DJ173" s="3"/>
      <c r="DK173" s="3"/>
      <c r="DL173" s="3"/>
      <c r="DM173" s="3"/>
    </row>
    <row r="174" ht="19.5" customHeight="1">
      <c r="A174" s="153" t="str">
        <f>'Pelan Pengambilan'!B90</f>
        <v/>
      </c>
      <c r="B174" s="154" t="str">
        <f>'Pelan Pengambilan'!C90</f>
        <v/>
      </c>
      <c r="C174" s="153" t="str">
        <f t="array" ref="C174">IFERROR(IF(INDEX(Strategi!$F$5:$F$134,MATCH(LARGE(Strategi!$K$5:$K$134,85),Strategi!$K$5:$K$134,0))="","","("&amp;COUNTIFS('Pelan Pengambilan'!$B$6:$B$90,'Pelan Pengambilan'!$B90,'Pelan Pengambilan'!$C$6:$C$90,'Pelan Pengambilan'!$C90)&amp;") "&amp;INDEX(Strategi!$F$5:$F$134,MATCH(LARGE(Strategi!$K$5:$K$134,85),Strategi!$K$5:$K$134,0))),"")</f>
        <v/>
      </c>
      <c r="D174" s="155" t="s">
        <v>275</v>
      </c>
      <c r="E174" s="156" t="str">
        <f>IFERROR(IF(COUNT('Pelan Pengambilan'!H90,'Pelan Pengambilan'!J90,'Pelan Pengambilan'!L90,'Pelan Pengambilan'!N90,'Pelan Pengambilan'!P90,'Pelan Pengambilan'!R90,'Pelan Pengambilan'!T90,'Pelan Pengambilan'!V90,'Pelan Pengambilan'!X90,'Pelan Pengambilan'!Z90,'Pelan Pengambilan'!AB90,'Pelan Pengambilan'!AD90)=0,"",COUNT('Pelan Pengambilan'!I90,'Pelan Pengambilan'!K90,'Pelan Pengambilan'!M90,'Pelan Pengambilan'!O90,'Pelan Pengambilan'!Q90,'Pelan Pengambilan'!S90,'Pelan Pengambilan'!U90,'Pelan Pengambilan'!W90,'Pelan Pengambilan'!Y90,'Pelan Pengambilan'!AA90,'Pelan Pengambilan'!AC90,'Pelan Pengambilan'!AE90)/COUNT('Pelan Pengambilan'!H90,'Pelan Pengambilan'!J90,'Pelan Pengambilan'!L90,'Pelan Pengambilan'!N90,'Pelan Pengambilan'!P90,'Pelan Pengambilan'!R90,'Pelan Pengambilan'!T90,'Pelan Pengambilan'!V90,'Pelan Pengambilan'!X90,'Pelan Pengambilan'!Z90,'Pelan Pengambilan'!AB90,'Pelan Pengambilan'!AD90)),"")</f>
        <v/>
      </c>
      <c r="F174" s="157" t="str">
        <f>IFERROR(IF('Pelan Pengambilan'!G90="","",'Pelan Pengambilan'!G90),"")</f>
        <v/>
      </c>
      <c r="G174" s="158"/>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c r="CR174" s="158"/>
      <c r="CS174" s="158"/>
      <c r="CT174" s="158"/>
      <c r="CU174" s="158"/>
      <c r="CV174" s="158"/>
      <c r="CW174" s="158"/>
      <c r="CX174" s="158"/>
      <c r="CY174" s="158"/>
      <c r="CZ174" s="158"/>
      <c r="DA174" s="158"/>
      <c r="DB174" s="158"/>
      <c r="DC174" s="158"/>
      <c r="DD174" s="158"/>
      <c r="DE174" s="158"/>
      <c r="DF174" s="158"/>
      <c r="DG174" s="158"/>
      <c r="DH174" s="154" t="str">
        <f>'Pelan Pengambilan'!AF90</f>
        <v/>
      </c>
      <c r="DI174" s="154"/>
      <c r="DJ174" s="3">
        <f>IFERROR(MIN('Pelan Pengambilan'!H90,'Pelan Pengambilan'!J90,'Pelan Pengambilan'!L90,'Pelan Pengambilan'!N90,'Pelan Pengambilan'!P90,'Pelan Pengambilan'!R90,'Pelan Pengambilan'!T90,'Pelan Pengambilan'!V90,'Pelan Pengambilan'!X90,'Pelan Pengambilan'!Z90,'Pelan Pengambilan'!AB90,'Pelan Pengambilan'!AD90),"")</f>
        <v>0</v>
      </c>
      <c r="DK174" s="3">
        <f>IFERROR(MAX('Pelan Pengambilan'!H90,'Pelan Pengambilan'!J90,'Pelan Pengambilan'!L90,'Pelan Pengambilan'!N90,'Pelan Pengambilan'!P90,'Pelan Pengambilan'!R90,'Pelan Pengambilan'!T90,'Pelan Pengambilan'!V90,'Pelan Pengambilan'!X90,'Pelan Pengambilan'!Z90,'Pelan Pengambilan'!AB90,'Pelan Pengambilan'!AD90),"")</f>
        <v>0</v>
      </c>
      <c r="DL174" s="3">
        <f>IFERROR(MIN('Pelan Pengambilan'!I90,'Pelan Pengambilan'!K90,'Pelan Pengambilan'!M90,'Pelan Pengambilan'!O90,'Pelan Pengambilan'!Q90,'Pelan Pengambilan'!S90,'Pelan Pengambilan'!U90,'Pelan Pengambilan'!W90,'Pelan Pengambilan'!Y90,'Pelan Pengambilan'!AA90,'Pelan Pengambilan'!AC90,'Pelan Pengambilan'!AE90),"")</f>
        <v>0</v>
      </c>
      <c r="DM174" s="3">
        <f>IFERROR(MAX('Pelan Pengambilan'!I90,'Pelan Pengambilan'!K90,'Pelan Pengambilan'!M90,'Pelan Pengambilan'!O90,'Pelan Pengambilan'!Q90,'Pelan Pengambilan'!S90,'Pelan Pengambilan'!U90,'Pelan Pengambilan'!W90,'Pelan Pengambilan'!Y90,'Pelan Pengambilan'!AA90,'Pelan Pengambilan'!AC90,'Pelan Pengambilan'!AE90),"")</f>
        <v>0</v>
      </c>
    </row>
    <row r="175" ht="19.5" customHeight="1">
      <c r="A175" s="41"/>
      <c r="B175" s="41"/>
      <c r="C175" s="41"/>
      <c r="D175" s="155" t="s">
        <v>276</v>
      </c>
      <c r="E175" s="41"/>
      <c r="F175" s="41"/>
      <c r="G175" s="158"/>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c r="CR175" s="158"/>
      <c r="CS175" s="158"/>
      <c r="CT175" s="158"/>
      <c r="CU175" s="158"/>
      <c r="CV175" s="158"/>
      <c r="CW175" s="158"/>
      <c r="CX175" s="158"/>
      <c r="CY175" s="158"/>
      <c r="CZ175" s="158"/>
      <c r="DA175" s="158"/>
      <c r="DB175" s="158"/>
      <c r="DC175" s="158"/>
      <c r="DD175" s="158"/>
      <c r="DE175" s="158"/>
      <c r="DF175" s="158"/>
      <c r="DG175" s="158"/>
      <c r="DH175" s="41"/>
      <c r="DI175" s="41"/>
      <c r="DJ175" s="3"/>
      <c r="DK175" s="3"/>
      <c r="DL175" s="3"/>
      <c r="DM175" s="3"/>
    </row>
    <row r="176" ht="19.5" customHeight="1">
      <c r="A176" s="153" t="str">
        <f>'Pelan Pengambilan'!B91</f>
        <v/>
      </c>
      <c r="B176" s="154" t="str">
        <f>'Pelan Pengambilan'!C91</f>
        <v/>
      </c>
      <c r="C176" s="153" t="str">
        <f t="array" ref="C176">IFERROR(IF(INDEX(Strategi!$F$5:$F$134,MATCH(LARGE(Strategi!$K$5:$K$134,86),Strategi!$K$5:$K$134,0))="","","("&amp;COUNTIFS('Pelan Pengambilan'!$B$6:$B$91,'Pelan Pengambilan'!$B91,'Pelan Pengambilan'!$C$6:$C$91,'Pelan Pengambilan'!$C91)&amp;") "&amp;INDEX(Strategi!$F$5:$F$134,MATCH(LARGE(Strategi!$K$5:$K$134,86),Strategi!$K$5:$K$134,0))),"")</f>
        <v/>
      </c>
      <c r="D176" s="155" t="s">
        <v>275</v>
      </c>
      <c r="E176" s="156" t="str">
        <f>IFERROR(IF(COUNT('Pelan Pengambilan'!H91,'Pelan Pengambilan'!J91,'Pelan Pengambilan'!L91,'Pelan Pengambilan'!N91,'Pelan Pengambilan'!P91,'Pelan Pengambilan'!R91,'Pelan Pengambilan'!T91,'Pelan Pengambilan'!V91,'Pelan Pengambilan'!X91,'Pelan Pengambilan'!Z91,'Pelan Pengambilan'!AB91,'Pelan Pengambilan'!AD91)=0,"",COUNT('Pelan Pengambilan'!I91,'Pelan Pengambilan'!K91,'Pelan Pengambilan'!M91,'Pelan Pengambilan'!O91,'Pelan Pengambilan'!Q91,'Pelan Pengambilan'!S91,'Pelan Pengambilan'!U91,'Pelan Pengambilan'!W91,'Pelan Pengambilan'!Y91,'Pelan Pengambilan'!AA91,'Pelan Pengambilan'!AC91,'Pelan Pengambilan'!AE91)/COUNT('Pelan Pengambilan'!H91,'Pelan Pengambilan'!J91,'Pelan Pengambilan'!L91,'Pelan Pengambilan'!N91,'Pelan Pengambilan'!P91,'Pelan Pengambilan'!R91,'Pelan Pengambilan'!T91,'Pelan Pengambilan'!V91,'Pelan Pengambilan'!X91,'Pelan Pengambilan'!Z91,'Pelan Pengambilan'!AB91,'Pelan Pengambilan'!AD91)),"")</f>
        <v/>
      </c>
      <c r="F176" s="157" t="str">
        <f>IFERROR(IF('Pelan Pengambilan'!G91="","",'Pelan Pengambilan'!G91),"")</f>
        <v/>
      </c>
      <c r="G176" s="158"/>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c r="CS176" s="158"/>
      <c r="CT176" s="158"/>
      <c r="CU176" s="158"/>
      <c r="CV176" s="158"/>
      <c r="CW176" s="158"/>
      <c r="CX176" s="158"/>
      <c r="CY176" s="158"/>
      <c r="CZ176" s="158"/>
      <c r="DA176" s="158"/>
      <c r="DB176" s="158"/>
      <c r="DC176" s="158"/>
      <c r="DD176" s="158"/>
      <c r="DE176" s="158"/>
      <c r="DF176" s="158"/>
      <c r="DG176" s="158"/>
      <c r="DH176" s="154" t="str">
        <f>'Pelan Pengambilan'!AF91</f>
        <v/>
      </c>
      <c r="DI176" s="154"/>
      <c r="DJ176" s="3">
        <f>IFERROR(MIN('Pelan Pengambilan'!H91,'Pelan Pengambilan'!J91,'Pelan Pengambilan'!L91,'Pelan Pengambilan'!N91,'Pelan Pengambilan'!P91,'Pelan Pengambilan'!R91,'Pelan Pengambilan'!T91,'Pelan Pengambilan'!V91,'Pelan Pengambilan'!X91,'Pelan Pengambilan'!Z91,'Pelan Pengambilan'!AB91,'Pelan Pengambilan'!AD91),"")</f>
        <v>0</v>
      </c>
      <c r="DK176" s="3">
        <f>IFERROR(MAX('Pelan Pengambilan'!H91,'Pelan Pengambilan'!J91,'Pelan Pengambilan'!L91,'Pelan Pengambilan'!N91,'Pelan Pengambilan'!P91,'Pelan Pengambilan'!R91,'Pelan Pengambilan'!T91,'Pelan Pengambilan'!V91,'Pelan Pengambilan'!X91,'Pelan Pengambilan'!Z91,'Pelan Pengambilan'!AB91,'Pelan Pengambilan'!AD91),"")</f>
        <v>0</v>
      </c>
      <c r="DL176" s="3">
        <f>IFERROR(MIN('Pelan Pengambilan'!I91,'Pelan Pengambilan'!K91,'Pelan Pengambilan'!M91,'Pelan Pengambilan'!O91,'Pelan Pengambilan'!Q91,'Pelan Pengambilan'!S91,'Pelan Pengambilan'!U91,'Pelan Pengambilan'!W91,'Pelan Pengambilan'!Y91,'Pelan Pengambilan'!AA91,'Pelan Pengambilan'!AC91,'Pelan Pengambilan'!AE91),"")</f>
        <v>0</v>
      </c>
      <c r="DM176" s="3">
        <f>IFERROR(MAX('Pelan Pengambilan'!I91,'Pelan Pengambilan'!K91,'Pelan Pengambilan'!M91,'Pelan Pengambilan'!O91,'Pelan Pengambilan'!Q91,'Pelan Pengambilan'!S91,'Pelan Pengambilan'!U91,'Pelan Pengambilan'!W91,'Pelan Pengambilan'!Y91,'Pelan Pengambilan'!AA91,'Pelan Pengambilan'!AC91,'Pelan Pengambilan'!AE91),"")</f>
        <v>0</v>
      </c>
    </row>
    <row r="177" ht="19.5" customHeight="1">
      <c r="A177" s="41"/>
      <c r="B177" s="41"/>
      <c r="C177" s="41"/>
      <c r="D177" s="155" t="s">
        <v>276</v>
      </c>
      <c r="E177" s="41"/>
      <c r="F177" s="41"/>
      <c r="G177" s="158"/>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c r="CX177" s="158"/>
      <c r="CY177" s="158"/>
      <c r="CZ177" s="158"/>
      <c r="DA177" s="158"/>
      <c r="DB177" s="158"/>
      <c r="DC177" s="158"/>
      <c r="DD177" s="158"/>
      <c r="DE177" s="158"/>
      <c r="DF177" s="158"/>
      <c r="DG177" s="158"/>
      <c r="DH177" s="41"/>
      <c r="DI177" s="41"/>
      <c r="DJ177" s="3"/>
      <c r="DK177" s="3"/>
      <c r="DL177" s="3"/>
      <c r="DM177" s="3"/>
    </row>
    <row r="178" ht="19.5" customHeight="1">
      <c r="A178" s="153" t="str">
        <f>'Pelan Pengambilan'!B92</f>
        <v/>
      </c>
      <c r="B178" s="154" t="str">
        <f>'Pelan Pengambilan'!C92</f>
        <v/>
      </c>
      <c r="C178" s="153" t="str">
        <f t="array" ref="C178">IFERROR(IF(INDEX(Strategi!$F$5:$F$134,MATCH(LARGE(Strategi!$K$5:$K$134,87),Strategi!$K$5:$K$134,0))="","","("&amp;COUNTIFS('Pelan Pengambilan'!$B$6:$B$92,'Pelan Pengambilan'!$B92,'Pelan Pengambilan'!$C$6:$C$92,'Pelan Pengambilan'!$C92)&amp;") "&amp;INDEX(Strategi!$F$5:$F$134,MATCH(LARGE(Strategi!$K$5:$K$134,87),Strategi!$K$5:$K$134,0))),"")</f>
        <v/>
      </c>
      <c r="D178" s="155" t="s">
        <v>275</v>
      </c>
      <c r="E178" s="156" t="str">
        <f>IFERROR(IF(COUNT('Pelan Pengambilan'!H92,'Pelan Pengambilan'!J92,'Pelan Pengambilan'!L92,'Pelan Pengambilan'!N92,'Pelan Pengambilan'!P92,'Pelan Pengambilan'!R92,'Pelan Pengambilan'!T92,'Pelan Pengambilan'!V92,'Pelan Pengambilan'!X92,'Pelan Pengambilan'!Z92,'Pelan Pengambilan'!AB92,'Pelan Pengambilan'!AD92)=0,"",COUNT('Pelan Pengambilan'!I92,'Pelan Pengambilan'!K92,'Pelan Pengambilan'!M92,'Pelan Pengambilan'!O92,'Pelan Pengambilan'!Q92,'Pelan Pengambilan'!S92,'Pelan Pengambilan'!U92,'Pelan Pengambilan'!W92,'Pelan Pengambilan'!Y92,'Pelan Pengambilan'!AA92,'Pelan Pengambilan'!AC92,'Pelan Pengambilan'!AE92)/COUNT('Pelan Pengambilan'!H92,'Pelan Pengambilan'!J92,'Pelan Pengambilan'!L92,'Pelan Pengambilan'!N92,'Pelan Pengambilan'!P92,'Pelan Pengambilan'!R92,'Pelan Pengambilan'!T92,'Pelan Pengambilan'!V92,'Pelan Pengambilan'!X92,'Pelan Pengambilan'!Z92,'Pelan Pengambilan'!AB92,'Pelan Pengambilan'!AD92)),"")</f>
        <v/>
      </c>
      <c r="F178" s="157" t="str">
        <f>IFERROR(IF('Pelan Pengambilan'!G92="","",'Pelan Pengambilan'!G92),"")</f>
        <v/>
      </c>
      <c r="G178" s="158"/>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c r="CS178" s="158"/>
      <c r="CT178" s="158"/>
      <c r="CU178" s="158"/>
      <c r="CV178" s="158"/>
      <c r="CW178" s="158"/>
      <c r="CX178" s="158"/>
      <c r="CY178" s="158"/>
      <c r="CZ178" s="158"/>
      <c r="DA178" s="158"/>
      <c r="DB178" s="158"/>
      <c r="DC178" s="158"/>
      <c r="DD178" s="158"/>
      <c r="DE178" s="158"/>
      <c r="DF178" s="158"/>
      <c r="DG178" s="158"/>
      <c r="DH178" s="154" t="str">
        <f>'Pelan Pengambilan'!AF92</f>
        <v/>
      </c>
      <c r="DI178" s="154"/>
      <c r="DJ178" s="3">
        <f>IFERROR(MIN('Pelan Pengambilan'!H92,'Pelan Pengambilan'!J92,'Pelan Pengambilan'!L92,'Pelan Pengambilan'!N92,'Pelan Pengambilan'!P92,'Pelan Pengambilan'!R92,'Pelan Pengambilan'!T92,'Pelan Pengambilan'!V92,'Pelan Pengambilan'!X92,'Pelan Pengambilan'!Z92,'Pelan Pengambilan'!AB92,'Pelan Pengambilan'!AD92),"")</f>
        <v>0</v>
      </c>
      <c r="DK178" s="3">
        <f>IFERROR(MAX('Pelan Pengambilan'!H92,'Pelan Pengambilan'!J92,'Pelan Pengambilan'!L92,'Pelan Pengambilan'!N92,'Pelan Pengambilan'!P92,'Pelan Pengambilan'!R92,'Pelan Pengambilan'!T92,'Pelan Pengambilan'!V92,'Pelan Pengambilan'!X92,'Pelan Pengambilan'!Z92,'Pelan Pengambilan'!AB92,'Pelan Pengambilan'!AD92),"")</f>
        <v>0</v>
      </c>
      <c r="DL178" s="3">
        <f>IFERROR(MIN('Pelan Pengambilan'!I92,'Pelan Pengambilan'!K92,'Pelan Pengambilan'!M92,'Pelan Pengambilan'!O92,'Pelan Pengambilan'!Q92,'Pelan Pengambilan'!S92,'Pelan Pengambilan'!U92,'Pelan Pengambilan'!W92,'Pelan Pengambilan'!Y92,'Pelan Pengambilan'!AA92,'Pelan Pengambilan'!AC92,'Pelan Pengambilan'!AE92),"")</f>
        <v>0</v>
      </c>
      <c r="DM178" s="3">
        <f>IFERROR(MAX('Pelan Pengambilan'!I92,'Pelan Pengambilan'!K92,'Pelan Pengambilan'!M92,'Pelan Pengambilan'!O92,'Pelan Pengambilan'!Q92,'Pelan Pengambilan'!S92,'Pelan Pengambilan'!U92,'Pelan Pengambilan'!W92,'Pelan Pengambilan'!Y92,'Pelan Pengambilan'!AA92,'Pelan Pengambilan'!AC92,'Pelan Pengambilan'!AE92),"")</f>
        <v>0</v>
      </c>
    </row>
    <row r="179" ht="19.5" customHeight="1">
      <c r="A179" s="41"/>
      <c r="B179" s="41"/>
      <c r="C179" s="41"/>
      <c r="D179" s="155" t="s">
        <v>276</v>
      </c>
      <c r="E179" s="41"/>
      <c r="F179" s="41"/>
      <c r="G179" s="158"/>
      <c r="H179" s="158"/>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c r="CS179" s="158"/>
      <c r="CT179" s="158"/>
      <c r="CU179" s="158"/>
      <c r="CV179" s="158"/>
      <c r="CW179" s="158"/>
      <c r="CX179" s="158"/>
      <c r="CY179" s="158"/>
      <c r="CZ179" s="158"/>
      <c r="DA179" s="158"/>
      <c r="DB179" s="158"/>
      <c r="DC179" s="158"/>
      <c r="DD179" s="158"/>
      <c r="DE179" s="158"/>
      <c r="DF179" s="158"/>
      <c r="DG179" s="158"/>
      <c r="DH179" s="41"/>
      <c r="DI179" s="41"/>
      <c r="DJ179" s="3"/>
      <c r="DK179" s="3"/>
      <c r="DL179" s="3"/>
      <c r="DM179" s="3"/>
    </row>
    <row r="180" ht="19.5" customHeight="1">
      <c r="A180" s="153" t="str">
        <f>'Pelan Pengambilan'!B93</f>
        <v/>
      </c>
      <c r="B180" s="154" t="str">
        <f>'Pelan Pengambilan'!C93</f>
        <v/>
      </c>
      <c r="C180" s="153" t="str">
        <f t="array" ref="C180">IFERROR(IF(INDEX(Strategi!$F$5:$F$134,MATCH(LARGE(Strategi!$K$5:$K$134,88),Strategi!$K$5:$K$134,0))="","","("&amp;COUNTIFS('Pelan Pengambilan'!$B$6:$B$93,'Pelan Pengambilan'!$B93,'Pelan Pengambilan'!$C$6:$C$93,'Pelan Pengambilan'!$C93)&amp;") "&amp;INDEX(Strategi!$F$5:$F$134,MATCH(LARGE(Strategi!$K$5:$K$134,88),Strategi!$K$5:$K$134,0))),"")</f>
        <v/>
      </c>
      <c r="D180" s="155" t="s">
        <v>275</v>
      </c>
      <c r="E180" s="156" t="str">
        <f>IFERROR(IF(COUNT('Pelan Pengambilan'!H93,'Pelan Pengambilan'!J93,'Pelan Pengambilan'!L93,'Pelan Pengambilan'!N93,'Pelan Pengambilan'!P93,'Pelan Pengambilan'!R93,'Pelan Pengambilan'!T93,'Pelan Pengambilan'!V93,'Pelan Pengambilan'!X93,'Pelan Pengambilan'!Z93,'Pelan Pengambilan'!AB93,'Pelan Pengambilan'!AD93)=0,"",COUNT('Pelan Pengambilan'!I93,'Pelan Pengambilan'!K93,'Pelan Pengambilan'!M93,'Pelan Pengambilan'!O93,'Pelan Pengambilan'!Q93,'Pelan Pengambilan'!S93,'Pelan Pengambilan'!U93,'Pelan Pengambilan'!W93,'Pelan Pengambilan'!Y93,'Pelan Pengambilan'!AA93,'Pelan Pengambilan'!AC93,'Pelan Pengambilan'!AE93)/COUNT('Pelan Pengambilan'!H93,'Pelan Pengambilan'!J93,'Pelan Pengambilan'!L93,'Pelan Pengambilan'!N93,'Pelan Pengambilan'!P93,'Pelan Pengambilan'!R93,'Pelan Pengambilan'!T93,'Pelan Pengambilan'!V93,'Pelan Pengambilan'!X93,'Pelan Pengambilan'!Z93,'Pelan Pengambilan'!AB93,'Pelan Pengambilan'!AD93)),"")</f>
        <v/>
      </c>
      <c r="F180" s="157" t="str">
        <f>IFERROR(IF('Pelan Pengambilan'!G93="","",'Pelan Pengambilan'!G93),"")</f>
        <v/>
      </c>
      <c r="G180" s="158"/>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c r="CS180" s="158"/>
      <c r="CT180" s="158"/>
      <c r="CU180" s="158"/>
      <c r="CV180" s="158"/>
      <c r="CW180" s="158"/>
      <c r="CX180" s="158"/>
      <c r="CY180" s="158"/>
      <c r="CZ180" s="158"/>
      <c r="DA180" s="158"/>
      <c r="DB180" s="158"/>
      <c r="DC180" s="158"/>
      <c r="DD180" s="158"/>
      <c r="DE180" s="158"/>
      <c r="DF180" s="158"/>
      <c r="DG180" s="158"/>
      <c r="DH180" s="154" t="str">
        <f>'Pelan Pengambilan'!AF93</f>
        <v/>
      </c>
      <c r="DI180" s="154"/>
      <c r="DJ180" s="3">
        <f>IFERROR(MIN('Pelan Pengambilan'!H93,'Pelan Pengambilan'!J93,'Pelan Pengambilan'!L93,'Pelan Pengambilan'!N93,'Pelan Pengambilan'!P93,'Pelan Pengambilan'!R93,'Pelan Pengambilan'!T93,'Pelan Pengambilan'!V93,'Pelan Pengambilan'!X93,'Pelan Pengambilan'!Z93,'Pelan Pengambilan'!AB93,'Pelan Pengambilan'!AD93),"")</f>
        <v>0</v>
      </c>
      <c r="DK180" s="3">
        <f>IFERROR(MAX('Pelan Pengambilan'!H93,'Pelan Pengambilan'!J93,'Pelan Pengambilan'!L93,'Pelan Pengambilan'!N93,'Pelan Pengambilan'!P93,'Pelan Pengambilan'!R93,'Pelan Pengambilan'!T93,'Pelan Pengambilan'!V93,'Pelan Pengambilan'!X93,'Pelan Pengambilan'!Z93,'Pelan Pengambilan'!AB93,'Pelan Pengambilan'!AD93),"")</f>
        <v>0</v>
      </c>
      <c r="DL180" s="3">
        <f>IFERROR(MIN('Pelan Pengambilan'!I93,'Pelan Pengambilan'!K93,'Pelan Pengambilan'!M93,'Pelan Pengambilan'!O93,'Pelan Pengambilan'!Q93,'Pelan Pengambilan'!S93,'Pelan Pengambilan'!U93,'Pelan Pengambilan'!W93,'Pelan Pengambilan'!Y93,'Pelan Pengambilan'!AA93,'Pelan Pengambilan'!AC93,'Pelan Pengambilan'!AE93),"")</f>
        <v>0</v>
      </c>
      <c r="DM180" s="3">
        <f>IFERROR(MAX('Pelan Pengambilan'!I93,'Pelan Pengambilan'!K93,'Pelan Pengambilan'!M93,'Pelan Pengambilan'!O93,'Pelan Pengambilan'!Q93,'Pelan Pengambilan'!S93,'Pelan Pengambilan'!U93,'Pelan Pengambilan'!W93,'Pelan Pengambilan'!Y93,'Pelan Pengambilan'!AA93,'Pelan Pengambilan'!AC93,'Pelan Pengambilan'!AE93),"")</f>
        <v>0</v>
      </c>
    </row>
    <row r="181" ht="19.5" customHeight="1">
      <c r="A181" s="41"/>
      <c r="B181" s="41"/>
      <c r="C181" s="41"/>
      <c r="D181" s="155" t="s">
        <v>276</v>
      </c>
      <c r="E181" s="41"/>
      <c r="F181" s="41"/>
      <c r="G181" s="158"/>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c r="CS181" s="158"/>
      <c r="CT181" s="158"/>
      <c r="CU181" s="158"/>
      <c r="CV181" s="158"/>
      <c r="CW181" s="158"/>
      <c r="CX181" s="158"/>
      <c r="CY181" s="158"/>
      <c r="CZ181" s="158"/>
      <c r="DA181" s="158"/>
      <c r="DB181" s="158"/>
      <c r="DC181" s="158"/>
      <c r="DD181" s="158"/>
      <c r="DE181" s="158"/>
      <c r="DF181" s="158"/>
      <c r="DG181" s="158"/>
      <c r="DH181" s="41"/>
      <c r="DI181" s="41"/>
      <c r="DJ181" s="3"/>
      <c r="DK181" s="3"/>
      <c r="DL181" s="3"/>
      <c r="DM181" s="3"/>
    </row>
    <row r="182" ht="19.5" customHeight="1">
      <c r="A182" s="153" t="str">
        <f>'Pelan Pengambilan'!B94</f>
        <v/>
      </c>
      <c r="B182" s="154" t="str">
        <f>'Pelan Pengambilan'!C94</f>
        <v/>
      </c>
      <c r="C182" s="153" t="str">
        <f t="array" ref="C182">IFERROR(IF(INDEX(Strategi!$F$5:$F$134,MATCH(LARGE(Strategi!$K$5:$K$134,89),Strategi!$K$5:$K$134,0))="","","("&amp;COUNTIFS('Pelan Pengambilan'!$B$6:$B$94,'Pelan Pengambilan'!$B94,'Pelan Pengambilan'!$C$6:$C$94,'Pelan Pengambilan'!$C94)&amp;") "&amp;INDEX(Strategi!$F$5:$F$134,MATCH(LARGE(Strategi!$K$5:$K$134,89),Strategi!$K$5:$K$134,0))),"")</f>
        <v/>
      </c>
      <c r="D182" s="155" t="s">
        <v>275</v>
      </c>
      <c r="E182" s="156" t="str">
        <f>IFERROR(IF(COUNT('Pelan Pengambilan'!H94,'Pelan Pengambilan'!J94,'Pelan Pengambilan'!L94,'Pelan Pengambilan'!N94,'Pelan Pengambilan'!P94,'Pelan Pengambilan'!R94,'Pelan Pengambilan'!T94,'Pelan Pengambilan'!V94,'Pelan Pengambilan'!X94,'Pelan Pengambilan'!Z94,'Pelan Pengambilan'!AB94,'Pelan Pengambilan'!AD94)=0,"",COUNT('Pelan Pengambilan'!I94,'Pelan Pengambilan'!K94,'Pelan Pengambilan'!M94,'Pelan Pengambilan'!O94,'Pelan Pengambilan'!Q94,'Pelan Pengambilan'!S94,'Pelan Pengambilan'!U94,'Pelan Pengambilan'!W94,'Pelan Pengambilan'!Y94,'Pelan Pengambilan'!AA94,'Pelan Pengambilan'!AC94,'Pelan Pengambilan'!AE94)/COUNT('Pelan Pengambilan'!H94,'Pelan Pengambilan'!J94,'Pelan Pengambilan'!L94,'Pelan Pengambilan'!N94,'Pelan Pengambilan'!P94,'Pelan Pengambilan'!R94,'Pelan Pengambilan'!T94,'Pelan Pengambilan'!V94,'Pelan Pengambilan'!X94,'Pelan Pengambilan'!Z94,'Pelan Pengambilan'!AB94,'Pelan Pengambilan'!AD94)),"")</f>
        <v/>
      </c>
      <c r="F182" s="157" t="str">
        <f>IFERROR(IF('Pelan Pengambilan'!G94="","",'Pelan Pengambilan'!G94),"")</f>
        <v/>
      </c>
      <c r="G182" s="158"/>
      <c r="H182" s="158"/>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c r="CS182" s="158"/>
      <c r="CT182" s="158"/>
      <c r="CU182" s="158"/>
      <c r="CV182" s="158"/>
      <c r="CW182" s="158"/>
      <c r="CX182" s="158"/>
      <c r="CY182" s="158"/>
      <c r="CZ182" s="158"/>
      <c r="DA182" s="158"/>
      <c r="DB182" s="158"/>
      <c r="DC182" s="158"/>
      <c r="DD182" s="158"/>
      <c r="DE182" s="158"/>
      <c r="DF182" s="158"/>
      <c r="DG182" s="158"/>
      <c r="DH182" s="154" t="str">
        <f>'Pelan Pengambilan'!AF94</f>
        <v/>
      </c>
      <c r="DI182" s="154"/>
      <c r="DJ182" s="3">
        <f>IFERROR(MIN('Pelan Pengambilan'!H94,'Pelan Pengambilan'!J94,'Pelan Pengambilan'!L94,'Pelan Pengambilan'!N94,'Pelan Pengambilan'!P94,'Pelan Pengambilan'!R94,'Pelan Pengambilan'!T94,'Pelan Pengambilan'!V94,'Pelan Pengambilan'!X94,'Pelan Pengambilan'!Z94,'Pelan Pengambilan'!AB94,'Pelan Pengambilan'!AD94),"")</f>
        <v>0</v>
      </c>
      <c r="DK182" s="3">
        <f>IFERROR(MAX('Pelan Pengambilan'!H94,'Pelan Pengambilan'!J94,'Pelan Pengambilan'!L94,'Pelan Pengambilan'!N94,'Pelan Pengambilan'!P94,'Pelan Pengambilan'!R94,'Pelan Pengambilan'!T94,'Pelan Pengambilan'!V94,'Pelan Pengambilan'!X94,'Pelan Pengambilan'!Z94,'Pelan Pengambilan'!AB94,'Pelan Pengambilan'!AD94),"")</f>
        <v>0</v>
      </c>
      <c r="DL182" s="3">
        <f>IFERROR(MIN('Pelan Pengambilan'!I94,'Pelan Pengambilan'!K94,'Pelan Pengambilan'!M94,'Pelan Pengambilan'!O94,'Pelan Pengambilan'!Q94,'Pelan Pengambilan'!S94,'Pelan Pengambilan'!U94,'Pelan Pengambilan'!W94,'Pelan Pengambilan'!Y94,'Pelan Pengambilan'!AA94,'Pelan Pengambilan'!AC94,'Pelan Pengambilan'!AE94),"")</f>
        <v>0</v>
      </c>
      <c r="DM182" s="3">
        <f>IFERROR(MAX('Pelan Pengambilan'!I94,'Pelan Pengambilan'!K94,'Pelan Pengambilan'!M94,'Pelan Pengambilan'!O94,'Pelan Pengambilan'!Q94,'Pelan Pengambilan'!S94,'Pelan Pengambilan'!U94,'Pelan Pengambilan'!W94,'Pelan Pengambilan'!Y94,'Pelan Pengambilan'!AA94,'Pelan Pengambilan'!AC94,'Pelan Pengambilan'!AE94),"")</f>
        <v>0</v>
      </c>
    </row>
    <row r="183" ht="19.5" customHeight="1">
      <c r="A183" s="41"/>
      <c r="B183" s="41"/>
      <c r="C183" s="41"/>
      <c r="D183" s="155" t="s">
        <v>276</v>
      </c>
      <c r="E183" s="41"/>
      <c r="F183" s="41"/>
      <c r="G183" s="158"/>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c r="CS183" s="158"/>
      <c r="CT183" s="158"/>
      <c r="CU183" s="158"/>
      <c r="CV183" s="158"/>
      <c r="CW183" s="158"/>
      <c r="CX183" s="158"/>
      <c r="CY183" s="158"/>
      <c r="CZ183" s="158"/>
      <c r="DA183" s="158"/>
      <c r="DB183" s="158"/>
      <c r="DC183" s="158"/>
      <c r="DD183" s="158"/>
      <c r="DE183" s="158"/>
      <c r="DF183" s="158"/>
      <c r="DG183" s="158"/>
      <c r="DH183" s="41"/>
      <c r="DI183" s="41"/>
      <c r="DJ183" s="3"/>
      <c r="DK183" s="3"/>
      <c r="DL183" s="3"/>
      <c r="DM183" s="3"/>
    </row>
    <row r="184" ht="19.5" customHeight="1">
      <c r="A184" s="153" t="str">
        <f>'Pelan Pengambilan'!B95</f>
        <v/>
      </c>
      <c r="B184" s="154" t="str">
        <f>'Pelan Pengambilan'!C95</f>
        <v/>
      </c>
      <c r="C184" s="153" t="str">
        <f t="array" ref="C184">IFERROR(IF(INDEX(Strategi!$F$5:$F$134,MATCH(LARGE(Strategi!$K$5:$K$134,90),Strategi!$K$5:$K$134,0))="","","("&amp;COUNTIFS('Pelan Pengambilan'!$B$6:$B$95,'Pelan Pengambilan'!$B95,'Pelan Pengambilan'!$C$6:$C$95,'Pelan Pengambilan'!$C95)&amp;") "&amp;INDEX(Strategi!$F$5:$F$134,MATCH(LARGE(Strategi!$K$5:$K$134,90),Strategi!$K$5:$K$134,0))),"")</f>
        <v/>
      </c>
      <c r="D184" s="155" t="s">
        <v>275</v>
      </c>
      <c r="E184" s="156" t="str">
        <f>IFERROR(IF(COUNT('Pelan Pengambilan'!H95,'Pelan Pengambilan'!J95,'Pelan Pengambilan'!L95,'Pelan Pengambilan'!N95,'Pelan Pengambilan'!P95,'Pelan Pengambilan'!R95,'Pelan Pengambilan'!T95,'Pelan Pengambilan'!V95,'Pelan Pengambilan'!X95,'Pelan Pengambilan'!Z95,'Pelan Pengambilan'!AB95,'Pelan Pengambilan'!AD95)=0,"",COUNT('Pelan Pengambilan'!I95,'Pelan Pengambilan'!K95,'Pelan Pengambilan'!M95,'Pelan Pengambilan'!O95,'Pelan Pengambilan'!Q95,'Pelan Pengambilan'!S95,'Pelan Pengambilan'!U95,'Pelan Pengambilan'!W95,'Pelan Pengambilan'!Y95,'Pelan Pengambilan'!AA95,'Pelan Pengambilan'!AC95,'Pelan Pengambilan'!AE95)/COUNT('Pelan Pengambilan'!H95,'Pelan Pengambilan'!J95,'Pelan Pengambilan'!L95,'Pelan Pengambilan'!N95,'Pelan Pengambilan'!P95,'Pelan Pengambilan'!R95,'Pelan Pengambilan'!T95,'Pelan Pengambilan'!V95,'Pelan Pengambilan'!X95,'Pelan Pengambilan'!Z95,'Pelan Pengambilan'!AB95,'Pelan Pengambilan'!AD95)),"")</f>
        <v/>
      </c>
      <c r="F184" s="157" t="str">
        <f>IFERROR(IF('Pelan Pengambilan'!G95="","",'Pelan Pengambilan'!G95),"")</f>
        <v/>
      </c>
      <c r="G184" s="158"/>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c r="CS184" s="158"/>
      <c r="CT184" s="158"/>
      <c r="CU184" s="158"/>
      <c r="CV184" s="158"/>
      <c r="CW184" s="158"/>
      <c r="CX184" s="158"/>
      <c r="CY184" s="158"/>
      <c r="CZ184" s="158"/>
      <c r="DA184" s="158"/>
      <c r="DB184" s="158"/>
      <c r="DC184" s="158"/>
      <c r="DD184" s="158"/>
      <c r="DE184" s="158"/>
      <c r="DF184" s="158"/>
      <c r="DG184" s="158"/>
      <c r="DH184" s="154" t="str">
        <f>'Pelan Pengambilan'!AF95</f>
        <v/>
      </c>
      <c r="DI184" s="154"/>
      <c r="DJ184" s="3">
        <f>IFERROR(MIN('Pelan Pengambilan'!H95,'Pelan Pengambilan'!J95,'Pelan Pengambilan'!L95,'Pelan Pengambilan'!N95,'Pelan Pengambilan'!P95,'Pelan Pengambilan'!R95,'Pelan Pengambilan'!T95,'Pelan Pengambilan'!V95,'Pelan Pengambilan'!X95,'Pelan Pengambilan'!Z95,'Pelan Pengambilan'!AB95,'Pelan Pengambilan'!AD95),"")</f>
        <v>0</v>
      </c>
      <c r="DK184" s="3">
        <f>IFERROR(MAX('Pelan Pengambilan'!H95,'Pelan Pengambilan'!J95,'Pelan Pengambilan'!L95,'Pelan Pengambilan'!N95,'Pelan Pengambilan'!P95,'Pelan Pengambilan'!R95,'Pelan Pengambilan'!T95,'Pelan Pengambilan'!V95,'Pelan Pengambilan'!X95,'Pelan Pengambilan'!Z95,'Pelan Pengambilan'!AB95,'Pelan Pengambilan'!AD95),"")</f>
        <v>0</v>
      </c>
      <c r="DL184" s="3">
        <f>IFERROR(MIN('Pelan Pengambilan'!I95,'Pelan Pengambilan'!K95,'Pelan Pengambilan'!M95,'Pelan Pengambilan'!O95,'Pelan Pengambilan'!Q95,'Pelan Pengambilan'!S95,'Pelan Pengambilan'!U95,'Pelan Pengambilan'!W95,'Pelan Pengambilan'!Y95,'Pelan Pengambilan'!AA95,'Pelan Pengambilan'!AC95,'Pelan Pengambilan'!AE95),"")</f>
        <v>0</v>
      </c>
      <c r="DM184" s="3">
        <f>IFERROR(MAX('Pelan Pengambilan'!I95,'Pelan Pengambilan'!K95,'Pelan Pengambilan'!M95,'Pelan Pengambilan'!O95,'Pelan Pengambilan'!Q95,'Pelan Pengambilan'!S95,'Pelan Pengambilan'!U95,'Pelan Pengambilan'!W95,'Pelan Pengambilan'!Y95,'Pelan Pengambilan'!AA95,'Pelan Pengambilan'!AC95,'Pelan Pengambilan'!AE95),"")</f>
        <v>0</v>
      </c>
    </row>
    <row r="185" ht="19.5" customHeight="1">
      <c r="A185" s="41"/>
      <c r="B185" s="41"/>
      <c r="C185" s="41"/>
      <c r="D185" s="155" t="s">
        <v>276</v>
      </c>
      <c r="E185" s="41"/>
      <c r="F185" s="41"/>
      <c r="G185" s="158"/>
      <c r="H185" s="158"/>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c r="CS185" s="158"/>
      <c r="CT185" s="158"/>
      <c r="CU185" s="158"/>
      <c r="CV185" s="158"/>
      <c r="CW185" s="158"/>
      <c r="CX185" s="158"/>
      <c r="CY185" s="158"/>
      <c r="CZ185" s="158"/>
      <c r="DA185" s="158"/>
      <c r="DB185" s="158"/>
      <c r="DC185" s="158"/>
      <c r="DD185" s="158"/>
      <c r="DE185" s="158"/>
      <c r="DF185" s="158"/>
      <c r="DG185" s="158"/>
      <c r="DH185" s="41"/>
      <c r="DI185" s="41"/>
      <c r="DJ185" s="3"/>
      <c r="DK185" s="3"/>
      <c r="DL185" s="3"/>
      <c r="DM185" s="3"/>
    </row>
    <row r="186" ht="19.5" customHeight="1">
      <c r="A186" s="153" t="str">
        <f>'Pelan Pengambilan'!B96</f>
        <v/>
      </c>
      <c r="B186" s="154" t="str">
        <f>'Pelan Pengambilan'!C96</f>
        <v/>
      </c>
      <c r="C186" s="153" t="str">
        <f t="array" ref="C186">IFERROR(IF(INDEX(Strategi!$F$5:$F$134,MATCH(LARGE(Strategi!$K$5:$K$134,91),Strategi!$K$5:$K$134,0))="","","("&amp;COUNTIFS('Pelan Pengambilan'!$B$6:$B$96,'Pelan Pengambilan'!$B96,'Pelan Pengambilan'!$C$6:$C$96,'Pelan Pengambilan'!$C96)&amp;") "&amp;INDEX(Strategi!$F$5:$F$134,MATCH(LARGE(Strategi!$K$5:$K$134,91),Strategi!$K$5:$K$134,0))),"")</f>
        <v/>
      </c>
      <c r="D186" s="155" t="s">
        <v>275</v>
      </c>
      <c r="E186" s="156" t="str">
        <f>IFERROR(IF(COUNT('Pelan Pengambilan'!H96,'Pelan Pengambilan'!J96,'Pelan Pengambilan'!L96,'Pelan Pengambilan'!N96,'Pelan Pengambilan'!P96,'Pelan Pengambilan'!R96,'Pelan Pengambilan'!T96,'Pelan Pengambilan'!V96,'Pelan Pengambilan'!X96,'Pelan Pengambilan'!Z96,'Pelan Pengambilan'!AB96,'Pelan Pengambilan'!AD96)=0,"",COUNT('Pelan Pengambilan'!I96,'Pelan Pengambilan'!K96,'Pelan Pengambilan'!M96,'Pelan Pengambilan'!O96,'Pelan Pengambilan'!Q96,'Pelan Pengambilan'!S96,'Pelan Pengambilan'!U96,'Pelan Pengambilan'!W96,'Pelan Pengambilan'!Y96,'Pelan Pengambilan'!AA96,'Pelan Pengambilan'!AC96,'Pelan Pengambilan'!AE96)/COUNT('Pelan Pengambilan'!H96,'Pelan Pengambilan'!J96,'Pelan Pengambilan'!L96,'Pelan Pengambilan'!N96,'Pelan Pengambilan'!P96,'Pelan Pengambilan'!R96,'Pelan Pengambilan'!T96,'Pelan Pengambilan'!V96,'Pelan Pengambilan'!X96,'Pelan Pengambilan'!Z96,'Pelan Pengambilan'!AB96,'Pelan Pengambilan'!AD96)),"")</f>
        <v/>
      </c>
      <c r="F186" s="157" t="str">
        <f>IFERROR(IF('Pelan Pengambilan'!G96="","",'Pelan Pengambilan'!G96),"")</f>
        <v/>
      </c>
      <c r="G186" s="158"/>
      <c r="H186" s="158"/>
      <c r="I186" s="158"/>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c r="CS186" s="158"/>
      <c r="CT186" s="158"/>
      <c r="CU186" s="158"/>
      <c r="CV186" s="158"/>
      <c r="CW186" s="158"/>
      <c r="CX186" s="158"/>
      <c r="CY186" s="158"/>
      <c r="CZ186" s="158"/>
      <c r="DA186" s="158"/>
      <c r="DB186" s="158"/>
      <c r="DC186" s="158"/>
      <c r="DD186" s="158"/>
      <c r="DE186" s="158"/>
      <c r="DF186" s="158"/>
      <c r="DG186" s="158"/>
      <c r="DH186" s="154" t="str">
        <f>'Pelan Pengambilan'!AF96</f>
        <v/>
      </c>
      <c r="DI186" s="154"/>
      <c r="DJ186" s="3">
        <f>IFERROR(MIN('Pelan Pengambilan'!H96,'Pelan Pengambilan'!J96,'Pelan Pengambilan'!L96,'Pelan Pengambilan'!N96,'Pelan Pengambilan'!P96,'Pelan Pengambilan'!R96,'Pelan Pengambilan'!T96,'Pelan Pengambilan'!V96,'Pelan Pengambilan'!X96,'Pelan Pengambilan'!Z96,'Pelan Pengambilan'!AB96,'Pelan Pengambilan'!AD96),"")</f>
        <v>0</v>
      </c>
      <c r="DK186" s="3">
        <f>IFERROR(MAX('Pelan Pengambilan'!H96,'Pelan Pengambilan'!J96,'Pelan Pengambilan'!L96,'Pelan Pengambilan'!N96,'Pelan Pengambilan'!P96,'Pelan Pengambilan'!R96,'Pelan Pengambilan'!T96,'Pelan Pengambilan'!V96,'Pelan Pengambilan'!X96,'Pelan Pengambilan'!Z96,'Pelan Pengambilan'!AB96,'Pelan Pengambilan'!AD96),"")</f>
        <v>0</v>
      </c>
      <c r="DL186" s="3">
        <f>IFERROR(MIN('Pelan Pengambilan'!I96,'Pelan Pengambilan'!K96,'Pelan Pengambilan'!M96,'Pelan Pengambilan'!O96,'Pelan Pengambilan'!Q96,'Pelan Pengambilan'!S96,'Pelan Pengambilan'!U96,'Pelan Pengambilan'!W96,'Pelan Pengambilan'!Y96,'Pelan Pengambilan'!AA96,'Pelan Pengambilan'!AC96,'Pelan Pengambilan'!AE96),"")</f>
        <v>0</v>
      </c>
      <c r="DM186" s="3">
        <f>IFERROR(MAX('Pelan Pengambilan'!I96,'Pelan Pengambilan'!K96,'Pelan Pengambilan'!M96,'Pelan Pengambilan'!O96,'Pelan Pengambilan'!Q96,'Pelan Pengambilan'!S96,'Pelan Pengambilan'!U96,'Pelan Pengambilan'!W96,'Pelan Pengambilan'!Y96,'Pelan Pengambilan'!AA96,'Pelan Pengambilan'!AC96,'Pelan Pengambilan'!AE96),"")</f>
        <v>0</v>
      </c>
    </row>
    <row r="187" ht="19.5" customHeight="1">
      <c r="A187" s="41"/>
      <c r="B187" s="41"/>
      <c r="C187" s="41"/>
      <c r="D187" s="155" t="s">
        <v>276</v>
      </c>
      <c r="E187" s="41"/>
      <c r="F187" s="41"/>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c r="CD187" s="158"/>
      <c r="CE187" s="158"/>
      <c r="CF187" s="158"/>
      <c r="CG187" s="158"/>
      <c r="CH187" s="158"/>
      <c r="CI187" s="158"/>
      <c r="CJ187" s="158"/>
      <c r="CK187" s="158"/>
      <c r="CL187" s="158"/>
      <c r="CM187" s="158"/>
      <c r="CN187" s="158"/>
      <c r="CO187" s="158"/>
      <c r="CP187" s="158"/>
      <c r="CQ187" s="158"/>
      <c r="CR187" s="158"/>
      <c r="CS187" s="158"/>
      <c r="CT187" s="158"/>
      <c r="CU187" s="158"/>
      <c r="CV187" s="158"/>
      <c r="CW187" s="158"/>
      <c r="CX187" s="158"/>
      <c r="CY187" s="158"/>
      <c r="CZ187" s="158"/>
      <c r="DA187" s="158"/>
      <c r="DB187" s="158"/>
      <c r="DC187" s="158"/>
      <c r="DD187" s="158"/>
      <c r="DE187" s="158"/>
      <c r="DF187" s="158"/>
      <c r="DG187" s="158"/>
      <c r="DH187" s="41"/>
      <c r="DI187" s="41"/>
      <c r="DJ187" s="3"/>
      <c r="DK187" s="3"/>
      <c r="DL187" s="3"/>
      <c r="DM187" s="3"/>
    </row>
    <row r="188" ht="19.5" customHeight="1">
      <c r="A188" s="153" t="str">
        <f>'Pelan Pengambilan'!B97</f>
        <v/>
      </c>
      <c r="B188" s="154" t="str">
        <f>'Pelan Pengambilan'!C97</f>
        <v/>
      </c>
      <c r="C188" s="153" t="str">
        <f t="array" ref="C188">IFERROR(IF(INDEX(Strategi!$F$5:$F$134,MATCH(LARGE(Strategi!$K$5:$K$134,92),Strategi!$K$5:$K$134,0))="","","("&amp;COUNTIFS('Pelan Pengambilan'!$B$6:$B$97,'Pelan Pengambilan'!$B97,'Pelan Pengambilan'!$C$6:$C$97,'Pelan Pengambilan'!$C97)&amp;") "&amp;INDEX(Strategi!$F$5:$F$134,MATCH(LARGE(Strategi!$K$5:$K$134,92),Strategi!$K$5:$K$134,0))),"")</f>
        <v/>
      </c>
      <c r="D188" s="155" t="s">
        <v>275</v>
      </c>
      <c r="E188" s="156" t="str">
        <f>IFERROR(IF(COUNT('Pelan Pengambilan'!H97,'Pelan Pengambilan'!J97,'Pelan Pengambilan'!L97,'Pelan Pengambilan'!N97,'Pelan Pengambilan'!P97,'Pelan Pengambilan'!R97,'Pelan Pengambilan'!T97,'Pelan Pengambilan'!V97,'Pelan Pengambilan'!X97,'Pelan Pengambilan'!Z97,'Pelan Pengambilan'!AB97,'Pelan Pengambilan'!AD97)=0,"",COUNT('Pelan Pengambilan'!I97,'Pelan Pengambilan'!K97,'Pelan Pengambilan'!M97,'Pelan Pengambilan'!O97,'Pelan Pengambilan'!Q97,'Pelan Pengambilan'!S97,'Pelan Pengambilan'!U97,'Pelan Pengambilan'!W97,'Pelan Pengambilan'!Y97,'Pelan Pengambilan'!AA97,'Pelan Pengambilan'!AC97,'Pelan Pengambilan'!AE97)/COUNT('Pelan Pengambilan'!H97,'Pelan Pengambilan'!J97,'Pelan Pengambilan'!L97,'Pelan Pengambilan'!N97,'Pelan Pengambilan'!P97,'Pelan Pengambilan'!R97,'Pelan Pengambilan'!T97,'Pelan Pengambilan'!V97,'Pelan Pengambilan'!X97,'Pelan Pengambilan'!Z97,'Pelan Pengambilan'!AB97,'Pelan Pengambilan'!AD97)),"")</f>
        <v/>
      </c>
      <c r="F188" s="157" t="str">
        <f>IFERROR(IF('Pelan Pengambilan'!G97="","",'Pelan Pengambilan'!G97),"")</f>
        <v/>
      </c>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c r="CD188" s="158"/>
      <c r="CE188" s="158"/>
      <c r="CF188" s="158"/>
      <c r="CG188" s="158"/>
      <c r="CH188" s="158"/>
      <c r="CI188" s="158"/>
      <c r="CJ188" s="158"/>
      <c r="CK188" s="158"/>
      <c r="CL188" s="158"/>
      <c r="CM188" s="158"/>
      <c r="CN188" s="158"/>
      <c r="CO188" s="158"/>
      <c r="CP188" s="158"/>
      <c r="CQ188" s="158"/>
      <c r="CR188" s="158"/>
      <c r="CS188" s="158"/>
      <c r="CT188" s="158"/>
      <c r="CU188" s="158"/>
      <c r="CV188" s="158"/>
      <c r="CW188" s="158"/>
      <c r="CX188" s="158"/>
      <c r="CY188" s="158"/>
      <c r="CZ188" s="158"/>
      <c r="DA188" s="158"/>
      <c r="DB188" s="158"/>
      <c r="DC188" s="158"/>
      <c r="DD188" s="158"/>
      <c r="DE188" s="158"/>
      <c r="DF188" s="158"/>
      <c r="DG188" s="158"/>
      <c r="DH188" s="154" t="str">
        <f>'Pelan Pengambilan'!AF97</f>
        <v/>
      </c>
      <c r="DI188" s="154"/>
      <c r="DJ188" s="3">
        <f>IFERROR(MIN('Pelan Pengambilan'!H97,'Pelan Pengambilan'!J97,'Pelan Pengambilan'!L97,'Pelan Pengambilan'!N97,'Pelan Pengambilan'!P97,'Pelan Pengambilan'!R97,'Pelan Pengambilan'!T97,'Pelan Pengambilan'!V97,'Pelan Pengambilan'!X97,'Pelan Pengambilan'!Z97,'Pelan Pengambilan'!AB97,'Pelan Pengambilan'!AD97),"")</f>
        <v>0</v>
      </c>
      <c r="DK188" s="3">
        <f>IFERROR(MAX('Pelan Pengambilan'!H97,'Pelan Pengambilan'!J97,'Pelan Pengambilan'!L97,'Pelan Pengambilan'!N97,'Pelan Pengambilan'!P97,'Pelan Pengambilan'!R97,'Pelan Pengambilan'!T97,'Pelan Pengambilan'!V97,'Pelan Pengambilan'!X97,'Pelan Pengambilan'!Z97,'Pelan Pengambilan'!AB97,'Pelan Pengambilan'!AD97),"")</f>
        <v>0</v>
      </c>
      <c r="DL188" s="3">
        <f>IFERROR(MIN('Pelan Pengambilan'!I97,'Pelan Pengambilan'!K97,'Pelan Pengambilan'!M97,'Pelan Pengambilan'!O97,'Pelan Pengambilan'!Q97,'Pelan Pengambilan'!S97,'Pelan Pengambilan'!U97,'Pelan Pengambilan'!W97,'Pelan Pengambilan'!Y97,'Pelan Pengambilan'!AA97,'Pelan Pengambilan'!AC97,'Pelan Pengambilan'!AE97),"")</f>
        <v>0</v>
      </c>
      <c r="DM188" s="3">
        <f>IFERROR(MAX('Pelan Pengambilan'!I97,'Pelan Pengambilan'!K97,'Pelan Pengambilan'!M97,'Pelan Pengambilan'!O97,'Pelan Pengambilan'!Q97,'Pelan Pengambilan'!S97,'Pelan Pengambilan'!U97,'Pelan Pengambilan'!W97,'Pelan Pengambilan'!Y97,'Pelan Pengambilan'!AA97,'Pelan Pengambilan'!AC97,'Pelan Pengambilan'!AE97),"")</f>
        <v>0</v>
      </c>
    </row>
    <row r="189" ht="19.5" customHeight="1">
      <c r="A189" s="41"/>
      <c r="B189" s="41"/>
      <c r="C189" s="41"/>
      <c r="D189" s="155" t="s">
        <v>276</v>
      </c>
      <c r="E189" s="41"/>
      <c r="F189" s="41"/>
      <c r="G189" s="158"/>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c r="CD189" s="158"/>
      <c r="CE189" s="158"/>
      <c r="CF189" s="158"/>
      <c r="CG189" s="158"/>
      <c r="CH189" s="158"/>
      <c r="CI189" s="158"/>
      <c r="CJ189" s="158"/>
      <c r="CK189" s="158"/>
      <c r="CL189" s="158"/>
      <c r="CM189" s="158"/>
      <c r="CN189" s="158"/>
      <c r="CO189" s="158"/>
      <c r="CP189" s="158"/>
      <c r="CQ189" s="158"/>
      <c r="CR189" s="158"/>
      <c r="CS189" s="158"/>
      <c r="CT189" s="158"/>
      <c r="CU189" s="158"/>
      <c r="CV189" s="158"/>
      <c r="CW189" s="158"/>
      <c r="CX189" s="158"/>
      <c r="CY189" s="158"/>
      <c r="CZ189" s="158"/>
      <c r="DA189" s="158"/>
      <c r="DB189" s="158"/>
      <c r="DC189" s="158"/>
      <c r="DD189" s="158"/>
      <c r="DE189" s="158"/>
      <c r="DF189" s="158"/>
      <c r="DG189" s="158"/>
      <c r="DH189" s="41"/>
      <c r="DI189" s="41"/>
      <c r="DJ189" s="3"/>
      <c r="DK189" s="3"/>
      <c r="DL189" s="3"/>
      <c r="DM189" s="3"/>
    </row>
    <row r="190" ht="19.5" customHeight="1">
      <c r="A190" s="153" t="str">
        <f>'Pelan Pengambilan'!B98</f>
        <v/>
      </c>
      <c r="B190" s="154" t="str">
        <f>'Pelan Pengambilan'!C98</f>
        <v/>
      </c>
      <c r="C190" s="153" t="str">
        <f t="array" ref="C190">IFERROR(IF(INDEX(Strategi!$F$5:$F$134,MATCH(LARGE(Strategi!$K$5:$K$134,93),Strategi!$K$5:$K$134,0))="","","("&amp;COUNTIFS('Pelan Pengambilan'!$B$6:$B$98,'Pelan Pengambilan'!$B98,'Pelan Pengambilan'!$C$6:$C$98,'Pelan Pengambilan'!$C98)&amp;") "&amp;INDEX(Strategi!$F$5:$F$134,MATCH(LARGE(Strategi!$K$5:$K$134,93),Strategi!$K$5:$K$134,0))),"")</f>
        <v/>
      </c>
      <c r="D190" s="155" t="s">
        <v>275</v>
      </c>
      <c r="E190" s="156" t="str">
        <f>IFERROR(IF(COUNT('Pelan Pengambilan'!H98,'Pelan Pengambilan'!J98,'Pelan Pengambilan'!L98,'Pelan Pengambilan'!N98,'Pelan Pengambilan'!P98,'Pelan Pengambilan'!R98,'Pelan Pengambilan'!T98,'Pelan Pengambilan'!V98,'Pelan Pengambilan'!X98,'Pelan Pengambilan'!Z98,'Pelan Pengambilan'!AB98,'Pelan Pengambilan'!AD98)=0,"",COUNT('Pelan Pengambilan'!I98,'Pelan Pengambilan'!K98,'Pelan Pengambilan'!M98,'Pelan Pengambilan'!O98,'Pelan Pengambilan'!Q98,'Pelan Pengambilan'!S98,'Pelan Pengambilan'!U98,'Pelan Pengambilan'!W98,'Pelan Pengambilan'!Y98,'Pelan Pengambilan'!AA98,'Pelan Pengambilan'!AC98,'Pelan Pengambilan'!AE98)/COUNT('Pelan Pengambilan'!H98,'Pelan Pengambilan'!J98,'Pelan Pengambilan'!L98,'Pelan Pengambilan'!N98,'Pelan Pengambilan'!P98,'Pelan Pengambilan'!R98,'Pelan Pengambilan'!T98,'Pelan Pengambilan'!V98,'Pelan Pengambilan'!X98,'Pelan Pengambilan'!Z98,'Pelan Pengambilan'!AB98,'Pelan Pengambilan'!AD98)),"")</f>
        <v/>
      </c>
      <c r="F190" s="157" t="str">
        <f>IFERROR(IF('Pelan Pengambilan'!G98="","",'Pelan Pengambilan'!G98),"")</f>
        <v/>
      </c>
      <c r="G190" s="158"/>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c r="CD190" s="158"/>
      <c r="CE190" s="158"/>
      <c r="CF190" s="158"/>
      <c r="CG190" s="158"/>
      <c r="CH190" s="158"/>
      <c r="CI190" s="158"/>
      <c r="CJ190" s="158"/>
      <c r="CK190" s="158"/>
      <c r="CL190" s="158"/>
      <c r="CM190" s="158"/>
      <c r="CN190" s="158"/>
      <c r="CO190" s="158"/>
      <c r="CP190" s="158"/>
      <c r="CQ190" s="158"/>
      <c r="CR190" s="158"/>
      <c r="CS190" s="158"/>
      <c r="CT190" s="158"/>
      <c r="CU190" s="158"/>
      <c r="CV190" s="158"/>
      <c r="CW190" s="158"/>
      <c r="CX190" s="158"/>
      <c r="CY190" s="158"/>
      <c r="CZ190" s="158"/>
      <c r="DA190" s="158"/>
      <c r="DB190" s="158"/>
      <c r="DC190" s="158"/>
      <c r="DD190" s="158"/>
      <c r="DE190" s="158"/>
      <c r="DF190" s="158"/>
      <c r="DG190" s="158"/>
      <c r="DH190" s="154" t="str">
        <f>'Pelan Pengambilan'!AF98</f>
        <v/>
      </c>
      <c r="DI190" s="154"/>
      <c r="DJ190" s="3">
        <f>IFERROR(MIN('Pelan Pengambilan'!H98,'Pelan Pengambilan'!J98,'Pelan Pengambilan'!L98,'Pelan Pengambilan'!N98,'Pelan Pengambilan'!P98,'Pelan Pengambilan'!R98,'Pelan Pengambilan'!T98,'Pelan Pengambilan'!V98,'Pelan Pengambilan'!X98,'Pelan Pengambilan'!Z98,'Pelan Pengambilan'!AB98,'Pelan Pengambilan'!AD98),"")</f>
        <v>0</v>
      </c>
      <c r="DK190" s="3">
        <f>IFERROR(MAX('Pelan Pengambilan'!H98,'Pelan Pengambilan'!J98,'Pelan Pengambilan'!L98,'Pelan Pengambilan'!N98,'Pelan Pengambilan'!P98,'Pelan Pengambilan'!R98,'Pelan Pengambilan'!T98,'Pelan Pengambilan'!V98,'Pelan Pengambilan'!X98,'Pelan Pengambilan'!Z98,'Pelan Pengambilan'!AB98,'Pelan Pengambilan'!AD98),"")</f>
        <v>0</v>
      </c>
      <c r="DL190" s="3">
        <f>IFERROR(MIN('Pelan Pengambilan'!I98,'Pelan Pengambilan'!K98,'Pelan Pengambilan'!M98,'Pelan Pengambilan'!O98,'Pelan Pengambilan'!Q98,'Pelan Pengambilan'!S98,'Pelan Pengambilan'!U98,'Pelan Pengambilan'!W98,'Pelan Pengambilan'!Y98,'Pelan Pengambilan'!AA98,'Pelan Pengambilan'!AC98,'Pelan Pengambilan'!AE98),"")</f>
        <v>0</v>
      </c>
      <c r="DM190" s="3">
        <f>IFERROR(MAX('Pelan Pengambilan'!I98,'Pelan Pengambilan'!K98,'Pelan Pengambilan'!M98,'Pelan Pengambilan'!O98,'Pelan Pengambilan'!Q98,'Pelan Pengambilan'!S98,'Pelan Pengambilan'!U98,'Pelan Pengambilan'!W98,'Pelan Pengambilan'!Y98,'Pelan Pengambilan'!AA98,'Pelan Pengambilan'!AC98,'Pelan Pengambilan'!AE98),"")</f>
        <v>0</v>
      </c>
    </row>
    <row r="191" ht="19.5" customHeight="1">
      <c r="A191" s="41"/>
      <c r="B191" s="41"/>
      <c r="C191" s="41"/>
      <c r="D191" s="155" t="s">
        <v>276</v>
      </c>
      <c r="E191" s="41"/>
      <c r="F191" s="41"/>
      <c r="G191" s="158"/>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c r="CD191" s="158"/>
      <c r="CE191" s="158"/>
      <c r="CF191" s="158"/>
      <c r="CG191" s="158"/>
      <c r="CH191" s="158"/>
      <c r="CI191" s="158"/>
      <c r="CJ191" s="158"/>
      <c r="CK191" s="158"/>
      <c r="CL191" s="158"/>
      <c r="CM191" s="158"/>
      <c r="CN191" s="158"/>
      <c r="CO191" s="158"/>
      <c r="CP191" s="158"/>
      <c r="CQ191" s="158"/>
      <c r="CR191" s="158"/>
      <c r="CS191" s="158"/>
      <c r="CT191" s="158"/>
      <c r="CU191" s="158"/>
      <c r="CV191" s="158"/>
      <c r="CW191" s="158"/>
      <c r="CX191" s="158"/>
      <c r="CY191" s="158"/>
      <c r="CZ191" s="158"/>
      <c r="DA191" s="158"/>
      <c r="DB191" s="158"/>
      <c r="DC191" s="158"/>
      <c r="DD191" s="158"/>
      <c r="DE191" s="158"/>
      <c r="DF191" s="158"/>
      <c r="DG191" s="158"/>
      <c r="DH191" s="41"/>
      <c r="DI191" s="41"/>
      <c r="DJ191" s="3"/>
      <c r="DK191" s="3"/>
      <c r="DL191" s="3"/>
      <c r="DM191" s="3"/>
    </row>
    <row r="192" ht="19.5" customHeight="1">
      <c r="A192" s="153" t="str">
        <f>'Pelan Pengambilan'!B99</f>
        <v/>
      </c>
      <c r="B192" s="154" t="str">
        <f>'Pelan Pengambilan'!C99</f>
        <v/>
      </c>
      <c r="C192" s="153" t="str">
        <f t="array" ref="C192">IFERROR(IF(INDEX(Strategi!$F$5:$F$134,MATCH(LARGE(Strategi!$K$5:$K$134,94),Strategi!$K$5:$K$134,0))="","","("&amp;COUNTIFS('Pelan Pengambilan'!$B$6:$B$99,'Pelan Pengambilan'!$B99,'Pelan Pengambilan'!$C$6:$C$99,'Pelan Pengambilan'!$C99)&amp;") "&amp;INDEX(Strategi!$F$5:$F$134,MATCH(LARGE(Strategi!$K$5:$K$134,94),Strategi!$K$5:$K$134,0))),"")</f>
        <v/>
      </c>
      <c r="D192" s="155" t="s">
        <v>275</v>
      </c>
      <c r="E192" s="156" t="str">
        <f>IFERROR(IF(COUNT('Pelan Pengambilan'!H99,'Pelan Pengambilan'!J99,'Pelan Pengambilan'!L99,'Pelan Pengambilan'!N99,'Pelan Pengambilan'!P99,'Pelan Pengambilan'!R99,'Pelan Pengambilan'!T99,'Pelan Pengambilan'!V99,'Pelan Pengambilan'!X99,'Pelan Pengambilan'!Z99,'Pelan Pengambilan'!AB99,'Pelan Pengambilan'!AD99)=0,"",COUNT('Pelan Pengambilan'!I99,'Pelan Pengambilan'!K99,'Pelan Pengambilan'!M99,'Pelan Pengambilan'!O99,'Pelan Pengambilan'!Q99,'Pelan Pengambilan'!S99,'Pelan Pengambilan'!U99,'Pelan Pengambilan'!W99,'Pelan Pengambilan'!Y99,'Pelan Pengambilan'!AA99,'Pelan Pengambilan'!AC99,'Pelan Pengambilan'!AE99)/COUNT('Pelan Pengambilan'!H99,'Pelan Pengambilan'!J99,'Pelan Pengambilan'!L99,'Pelan Pengambilan'!N99,'Pelan Pengambilan'!P99,'Pelan Pengambilan'!R99,'Pelan Pengambilan'!T99,'Pelan Pengambilan'!V99,'Pelan Pengambilan'!X99,'Pelan Pengambilan'!Z99,'Pelan Pengambilan'!AB99,'Pelan Pengambilan'!AD99)),"")</f>
        <v/>
      </c>
      <c r="F192" s="157" t="str">
        <f>IFERROR(IF('Pelan Pengambilan'!G99="","",'Pelan Pengambilan'!G99),"")</f>
        <v/>
      </c>
      <c r="G192" s="158"/>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c r="CD192" s="158"/>
      <c r="CE192" s="158"/>
      <c r="CF192" s="158"/>
      <c r="CG192" s="158"/>
      <c r="CH192" s="158"/>
      <c r="CI192" s="158"/>
      <c r="CJ192" s="158"/>
      <c r="CK192" s="158"/>
      <c r="CL192" s="158"/>
      <c r="CM192" s="158"/>
      <c r="CN192" s="158"/>
      <c r="CO192" s="158"/>
      <c r="CP192" s="158"/>
      <c r="CQ192" s="158"/>
      <c r="CR192" s="158"/>
      <c r="CS192" s="158"/>
      <c r="CT192" s="158"/>
      <c r="CU192" s="158"/>
      <c r="CV192" s="158"/>
      <c r="CW192" s="158"/>
      <c r="CX192" s="158"/>
      <c r="CY192" s="158"/>
      <c r="CZ192" s="158"/>
      <c r="DA192" s="158"/>
      <c r="DB192" s="158"/>
      <c r="DC192" s="158"/>
      <c r="DD192" s="158"/>
      <c r="DE192" s="158"/>
      <c r="DF192" s="158"/>
      <c r="DG192" s="158"/>
      <c r="DH192" s="154" t="str">
        <f>'Pelan Pengambilan'!AF99</f>
        <v/>
      </c>
      <c r="DI192" s="154"/>
      <c r="DJ192" s="3">
        <f>IFERROR(MIN('Pelan Pengambilan'!H99,'Pelan Pengambilan'!J99,'Pelan Pengambilan'!L99,'Pelan Pengambilan'!N99,'Pelan Pengambilan'!P99,'Pelan Pengambilan'!R99,'Pelan Pengambilan'!T99,'Pelan Pengambilan'!V99,'Pelan Pengambilan'!X99,'Pelan Pengambilan'!Z99,'Pelan Pengambilan'!AB99,'Pelan Pengambilan'!AD99),"")</f>
        <v>0</v>
      </c>
      <c r="DK192" s="3">
        <f>IFERROR(MAX('Pelan Pengambilan'!H99,'Pelan Pengambilan'!J99,'Pelan Pengambilan'!L99,'Pelan Pengambilan'!N99,'Pelan Pengambilan'!P99,'Pelan Pengambilan'!R99,'Pelan Pengambilan'!T99,'Pelan Pengambilan'!V99,'Pelan Pengambilan'!X99,'Pelan Pengambilan'!Z99,'Pelan Pengambilan'!AB99,'Pelan Pengambilan'!AD99),"")</f>
        <v>0</v>
      </c>
      <c r="DL192" s="3">
        <f>IFERROR(MIN('Pelan Pengambilan'!I99,'Pelan Pengambilan'!K99,'Pelan Pengambilan'!M99,'Pelan Pengambilan'!O99,'Pelan Pengambilan'!Q99,'Pelan Pengambilan'!S99,'Pelan Pengambilan'!U99,'Pelan Pengambilan'!W99,'Pelan Pengambilan'!Y99,'Pelan Pengambilan'!AA99,'Pelan Pengambilan'!AC99,'Pelan Pengambilan'!AE99),"")</f>
        <v>0</v>
      </c>
      <c r="DM192" s="3">
        <f>IFERROR(MAX('Pelan Pengambilan'!I99,'Pelan Pengambilan'!K99,'Pelan Pengambilan'!M99,'Pelan Pengambilan'!O99,'Pelan Pengambilan'!Q99,'Pelan Pengambilan'!S99,'Pelan Pengambilan'!U99,'Pelan Pengambilan'!W99,'Pelan Pengambilan'!Y99,'Pelan Pengambilan'!AA99,'Pelan Pengambilan'!AC99,'Pelan Pengambilan'!AE99),"")</f>
        <v>0</v>
      </c>
    </row>
    <row r="193" ht="19.5" customHeight="1">
      <c r="A193" s="41"/>
      <c r="B193" s="41"/>
      <c r="C193" s="41"/>
      <c r="D193" s="155" t="s">
        <v>276</v>
      </c>
      <c r="E193" s="41"/>
      <c r="F193" s="41"/>
      <c r="G193" s="158"/>
      <c r="H193" s="158"/>
      <c r="I193" s="158"/>
      <c r="J193" s="158"/>
      <c r="K193" s="158"/>
      <c r="L193" s="158"/>
      <c r="M193" s="158"/>
      <c r="N193" s="158"/>
      <c r="O193" s="158"/>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158"/>
      <c r="AX193" s="158"/>
      <c r="AY193" s="158"/>
      <c r="AZ193" s="158"/>
      <c r="BA193" s="158"/>
      <c r="BB193" s="158"/>
      <c r="BC193" s="158"/>
      <c r="BD193" s="158"/>
      <c r="BE193" s="158"/>
      <c r="BF193" s="158"/>
      <c r="BG193" s="158"/>
      <c r="BH193" s="158"/>
      <c r="BI193" s="158"/>
      <c r="BJ193" s="158"/>
      <c r="BK193" s="158"/>
      <c r="BL193" s="158"/>
      <c r="BM193" s="158"/>
      <c r="BN193" s="158"/>
      <c r="BO193" s="158"/>
      <c r="BP193" s="158"/>
      <c r="BQ193" s="158"/>
      <c r="BR193" s="158"/>
      <c r="BS193" s="158"/>
      <c r="BT193" s="158"/>
      <c r="BU193" s="158"/>
      <c r="BV193" s="158"/>
      <c r="BW193" s="158"/>
      <c r="BX193" s="158"/>
      <c r="BY193" s="158"/>
      <c r="BZ193" s="158"/>
      <c r="CA193" s="158"/>
      <c r="CB193" s="158"/>
      <c r="CC193" s="158"/>
      <c r="CD193" s="158"/>
      <c r="CE193" s="158"/>
      <c r="CF193" s="158"/>
      <c r="CG193" s="158"/>
      <c r="CH193" s="158"/>
      <c r="CI193" s="158"/>
      <c r="CJ193" s="158"/>
      <c r="CK193" s="158"/>
      <c r="CL193" s="158"/>
      <c r="CM193" s="158"/>
      <c r="CN193" s="158"/>
      <c r="CO193" s="158"/>
      <c r="CP193" s="158"/>
      <c r="CQ193" s="158"/>
      <c r="CR193" s="158"/>
      <c r="CS193" s="158"/>
      <c r="CT193" s="158"/>
      <c r="CU193" s="158"/>
      <c r="CV193" s="158"/>
      <c r="CW193" s="158"/>
      <c r="CX193" s="158"/>
      <c r="CY193" s="158"/>
      <c r="CZ193" s="158"/>
      <c r="DA193" s="158"/>
      <c r="DB193" s="158"/>
      <c r="DC193" s="158"/>
      <c r="DD193" s="158"/>
      <c r="DE193" s="158"/>
      <c r="DF193" s="158"/>
      <c r="DG193" s="158"/>
      <c r="DH193" s="41"/>
      <c r="DI193" s="41"/>
      <c r="DJ193" s="3"/>
      <c r="DK193" s="3"/>
      <c r="DL193" s="3"/>
      <c r="DM193" s="3"/>
    </row>
    <row r="194" ht="19.5" customHeight="1">
      <c r="A194" s="153" t="str">
        <f>'Pelan Pengambilan'!B100</f>
        <v/>
      </c>
      <c r="B194" s="154" t="str">
        <f>'Pelan Pengambilan'!C100</f>
        <v/>
      </c>
      <c r="C194" s="153" t="str">
        <f t="array" ref="C194">IFERROR(IF(INDEX(Strategi!$F$5:$F$134,MATCH(LARGE(Strategi!$K$5:$K$134,95),Strategi!$K$5:$K$134,0))="","","("&amp;COUNTIFS('Pelan Pengambilan'!$B$6:$B$100,'Pelan Pengambilan'!$B100,'Pelan Pengambilan'!$C$6:$C$100,'Pelan Pengambilan'!$C100)&amp;") "&amp;INDEX(Strategi!$F$5:$F$134,MATCH(LARGE(Strategi!$K$5:$K$134,95),Strategi!$K$5:$K$134,0))),"")</f>
        <v/>
      </c>
      <c r="D194" s="155" t="s">
        <v>275</v>
      </c>
      <c r="E194" s="156" t="str">
        <f>IFERROR(IF(COUNT('Pelan Pengambilan'!H100,'Pelan Pengambilan'!J100,'Pelan Pengambilan'!L100,'Pelan Pengambilan'!N100,'Pelan Pengambilan'!P100,'Pelan Pengambilan'!R100,'Pelan Pengambilan'!T100,'Pelan Pengambilan'!V100,'Pelan Pengambilan'!X100,'Pelan Pengambilan'!Z100,'Pelan Pengambilan'!AB100,'Pelan Pengambilan'!AD100)=0,"",COUNT('Pelan Pengambilan'!I100,'Pelan Pengambilan'!K100,'Pelan Pengambilan'!M100,'Pelan Pengambilan'!O100,'Pelan Pengambilan'!Q100,'Pelan Pengambilan'!S100,'Pelan Pengambilan'!U100,'Pelan Pengambilan'!W100,'Pelan Pengambilan'!Y100,'Pelan Pengambilan'!AA100,'Pelan Pengambilan'!AC100,'Pelan Pengambilan'!AE100)/COUNT('Pelan Pengambilan'!H100,'Pelan Pengambilan'!J100,'Pelan Pengambilan'!L100,'Pelan Pengambilan'!N100,'Pelan Pengambilan'!P100,'Pelan Pengambilan'!R100,'Pelan Pengambilan'!T100,'Pelan Pengambilan'!V100,'Pelan Pengambilan'!X100,'Pelan Pengambilan'!Z100,'Pelan Pengambilan'!AB100,'Pelan Pengambilan'!AD100)),"")</f>
        <v/>
      </c>
      <c r="F194" s="157" t="str">
        <f>IFERROR(IF('Pelan Pengambilan'!G100="","",'Pelan Pengambilan'!G100),"")</f>
        <v/>
      </c>
      <c r="G194" s="158"/>
      <c r="H194" s="158"/>
      <c r="I194" s="158"/>
      <c r="J194" s="158"/>
      <c r="K194" s="158"/>
      <c r="L194" s="158"/>
      <c r="M194" s="158"/>
      <c r="N194" s="158"/>
      <c r="O194" s="158"/>
      <c r="P194" s="158"/>
      <c r="Q194" s="158"/>
      <c r="R194" s="158"/>
      <c r="S194" s="158"/>
      <c r="T194" s="158"/>
      <c r="U194" s="158"/>
      <c r="V194" s="158"/>
      <c r="W194" s="158"/>
      <c r="X194" s="158"/>
      <c r="Y194" s="158"/>
      <c r="Z194" s="158"/>
      <c r="AA194" s="158"/>
      <c r="AB194" s="158"/>
      <c r="AC194" s="158"/>
      <c r="AD194" s="158"/>
      <c r="AE194" s="158"/>
      <c r="AF194" s="158"/>
      <c r="AG194" s="158"/>
      <c r="AH194" s="158"/>
      <c r="AI194" s="158"/>
      <c r="AJ194" s="158"/>
      <c r="AK194" s="158"/>
      <c r="AL194" s="158"/>
      <c r="AM194" s="158"/>
      <c r="AN194" s="158"/>
      <c r="AO194" s="158"/>
      <c r="AP194" s="158"/>
      <c r="AQ194" s="158"/>
      <c r="AR194" s="158"/>
      <c r="AS194" s="158"/>
      <c r="AT194" s="158"/>
      <c r="AU194" s="158"/>
      <c r="AV194" s="158"/>
      <c r="AW194" s="158"/>
      <c r="AX194" s="158"/>
      <c r="AY194" s="158"/>
      <c r="AZ194" s="158"/>
      <c r="BA194" s="158"/>
      <c r="BB194" s="158"/>
      <c r="BC194" s="158"/>
      <c r="BD194" s="158"/>
      <c r="BE194" s="158"/>
      <c r="BF194" s="158"/>
      <c r="BG194" s="158"/>
      <c r="BH194" s="158"/>
      <c r="BI194" s="158"/>
      <c r="BJ194" s="158"/>
      <c r="BK194" s="158"/>
      <c r="BL194" s="158"/>
      <c r="BM194" s="158"/>
      <c r="BN194" s="158"/>
      <c r="BO194" s="158"/>
      <c r="BP194" s="158"/>
      <c r="BQ194" s="158"/>
      <c r="BR194" s="158"/>
      <c r="BS194" s="158"/>
      <c r="BT194" s="158"/>
      <c r="BU194" s="158"/>
      <c r="BV194" s="158"/>
      <c r="BW194" s="158"/>
      <c r="BX194" s="158"/>
      <c r="BY194" s="158"/>
      <c r="BZ194" s="158"/>
      <c r="CA194" s="158"/>
      <c r="CB194" s="158"/>
      <c r="CC194" s="158"/>
      <c r="CD194" s="158"/>
      <c r="CE194" s="158"/>
      <c r="CF194" s="158"/>
      <c r="CG194" s="158"/>
      <c r="CH194" s="158"/>
      <c r="CI194" s="158"/>
      <c r="CJ194" s="158"/>
      <c r="CK194" s="158"/>
      <c r="CL194" s="158"/>
      <c r="CM194" s="158"/>
      <c r="CN194" s="158"/>
      <c r="CO194" s="158"/>
      <c r="CP194" s="158"/>
      <c r="CQ194" s="158"/>
      <c r="CR194" s="158"/>
      <c r="CS194" s="158"/>
      <c r="CT194" s="158"/>
      <c r="CU194" s="158"/>
      <c r="CV194" s="158"/>
      <c r="CW194" s="158"/>
      <c r="CX194" s="158"/>
      <c r="CY194" s="158"/>
      <c r="CZ194" s="158"/>
      <c r="DA194" s="158"/>
      <c r="DB194" s="158"/>
      <c r="DC194" s="158"/>
      <c r="DD194" s="158"/>
      <c r="DE194" s="158"/>
      <c r="DF194" s="158"/>
      <c r="DG194" s="158"/>
      <c r="DH194" s="154" t="str">
        <f>'Pelan Pengambilan'!AF100</f>
        <v/>
      </c>
      <c r="DI194" s="154"/>
      <c r="DJ194" s="3">
        <f>IFERROR(MIN('Pelan Pengambilan'!H100,'Pelan Pengambilan'!J100,'Pelan Pengambilan'!L100,'Pelan Pengambilan'!N100,'Pelan Pengambilan'!P100,'Pelan Pengambilan'!R100,'Pelan Pengambilan'!T100,'Pelan Pengambilan'!V100,'Pelan Pengambilan'!X100,'Pelan Pengambilan'!Z100,'Pelan Pengambilan'!AB100,'Pelan Pengambilan'!AD100),"")</f>
        <v>0</v>
      </c>
      <c r="DK194" s="3">
        <f>IFERROR(MAX('Pelan Pengambilan'!H100,'Pelan Pengambilan'!J100,'Pelan Pengambilan'!L100,'Pelan Pengambilan'!N100,'Pelan Pengambilan'!P100,'Pelan Pengambilan'!R100,'Pelan Pengambilan'!T100,'Pelan Pengambilan'!V100,'Pelan Pengambilan'!X100,'Pelan Pengambilan'!Z100,'Pelan Pengambilan'!AB100,'Pelan Pengambilan'!AD100),"")</f>
        <v>0</v>
      </c>
      <c r="DL194" s="3">
        <f>IFERROR(MIN('Pelan Pengambilan'!I100,'Pelan Pengambilan'!K100,'Pelan Pengambilan'!M100,'Pelan Pengambilan'!O100,'Pelan Pengambilan'!Q100,'Pelan Pengambilan'!S100,'Pelan Pengambilan'!U100,'Pelan Pengambilan'!W100,'Pelan Pengambilan'!Y100,'Pelan Pengambilan'!AA100,'Pelan Pengambilan'!AC100,'Pelan Pengambilan'!AE100),"")</f>
        <v>0</v>
      </c>
      <c r="DM194" s="3">
        <f>IFERROR(MAX('Pelan Pengambilan'!I100,'Pelan Pengambilan'!K100,'Pelan Pengambilan'!M100,'Pelan Pengambilan'!O100,'Pelan Pengambilan'!Q100,'Pelan Pengambilan'!S100,'Pelan Pengambilan'!U100,'Pelan Pengambilan'!W100,'Pelan Pengambilan'!Y100,'Pelan Pengambilan'!AA100,'Pelan Pengambilan'!AC100,'Pelan Pengambilan'!AE100),"")</f>
        <v>0</v>
      </c>
    </row>
    <row r="195" ht="19.5" customHeight="1">
      <c r="A195" s="41"/>
      <c r="B195" s="41"/>
      <c r="C195" s="41"/>
      <c r="D195" s="155" t="s">
        <v>276</v>
      </c>
      <c r="E195" s="41"/>
      <c r="F195" s="41"/>
      <c r="G195" s="158"/>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158"/>
      <c r="AM195" s="158"/>
      <c r="AN195" s="158"/>
      <c r="AO195" s="158"/>
      <c r="AP195" s="158"/>
      <c r="AQ195" s="158"/>
      <c r="AR195" s="158"/>
      <c r="AS195" s="158"/>
      <c r="AT195" s="158"/>
      <c r="AU195" s="158"/>
      <c r="AV195" s="158"/>
      <c r="AW195" s="158"/>
      <c r="AX195" s="158"/>
      <c r="AY195" s="158"/>
      <c r="AZ195" s="158"/>
      <c r="BA195" s="158"/>
      <c r="BB195" s="158"/>
      <c r="BC195" s="158"/>
      <c r="BD195" s="158"/>
      <c r="BE195" s="158"/>
      <c r="BF195" s="158"/>
      <c r="BG195" s="158"/>
      <c r="BH195" s="158"/>
      <c r="BI195" s="158"/>
      <c r="BJ195" s="158"/>
      <c r="BK195" s="158"/>
      <c r="BL195" s="158"/>
      <c r="BM195" s="158"/>
      <c r="BN195" s="158"/>
      <c r="BO195" s="158"/>
      <c r="BP195" s="158"/>
      <c r="BQ195" s="158"/>
      <c r="BR195" s="158"/>
      <c r="BS195" s="158"/>
      <c r="BT195" s="158"/>
      <c r="BU195" s="158"/>
      <c r="BV195" s="158"/>
      <c r="BW195" s="158"/>
      <c r="BX195" s="158"/>
      <c r="BY195" s="158"/>
      <c r="BZ195" s="158"/>
      <c r="CA195" s="158"/>
      <c r="CB195" s="158"/>
      <c r="CC195" s="158"/>
      <c r="CD195" s="158"/>
      <c r="CE195" s="158"/>
      <c r="CF195" s="158"/>
      <c r="CG195" s="158"/>
      <c r="CH195" s="158"/>
      <c r="CI195" s="158"/>
      <c r="CJ195" s="158"/>
      <c r="CK195" s="158"/>
      <c r="CL195" s="158"/>
      <c r="CM195" s="158"/>
      <c r="CN195" s="158"/>
      <c r="CO195" s="158"/>
      <c r="CP195" s="158"/>
      <c r="CQ195" s="158"/>
      <c r="CR195" s="158"/>
      <c r="CS195" s="158"/>
      <c r="CT195" s="158"/>
      <c r="CU195" s="158"/>
      <c r="CV195" s="158"/>
      <c r="CW195" s="158"/>
      <c r="CX195" s="158"/>
      <c r="CY195" s="158"/>
      <c r="CZ195" s="158"/>
      <c r="DA195" s="158"/>
      <c r="DB195" s="158"/>
      <c r="DC195" s="158"/>
      <c r="DD195" s="158"/>
      <c r="DE195" s="158"/>
      <c r="DF195" s="158"/>
      <c r="DG195" s="158"/>
      <c r="DH195" s="41"/>
      <c r="DI195" s="41"/>
      <c r="DJ195" s="3"/>
      <c r="DK195" s="3"/>
      <c r="DL195" s="3"/>
      <c r="DM195" s="3"/>
    </row>
    <row r="196" ht="19.5" customHeight="1">
      <c r="A196" s="153" t="str">
        <f>'Pelan Pengambilan'!B101</f>
        <v/>
      </c>
      <c r="B196" s="154" t="str">
        <f>'Pelan Pengambilan'!C101</f>
        <v/>
      </c>
      <c r="C196" s="153" t="str">
        <f t="array" ref="C196">IFERROR(IF(INDEX(Strategi!$F$5:$F$134,MATCH(LARGE(Strategi!$K$5:$K$134,96),Strategi!$K$5:$K$134,0))="","","("&amp;COUNTIFS('Pelan Pengambilan'!$B$6:$B$101,'Pelan Pengambilan'!$B101,'Pelan Pengambilan'!$C$6:$C$101,'Pelan Pengambilan'!$C101)&amp;") "&amp;INDEX(Strategi!$F$5:$F$134,MATCH(LARGE(Strategi!$K$5:$K$134,96),Strategi!$K$5:$K$134,0))),"")</f>
        <v/>
      </c>
      <c r="D196" s="155" t="s">
        <v>275</v>
      </c>
      <c r="E196" s="156" t="str">
        <f>IFERROR(IF(COUNT('Pelan Pengambilan'!H101,'Pelan Pengambilan'!J101,'Pelan Pengambilan'!L101,'Pelan Pengambilan'!N101,'Pelan Pengambilan'!P101,'Pelan Pengambilan'!R101,'Pelan Pengambilan'!T101,'Pelan Pengambilan'!V101,'Pelan Pengambilan'!X101,'Pelan Pengambilan'!Z101,'Pelan Pengambilan'!AB101,'Pelan Pengambilan'!AD101)=0,"",COUNT('Pelan Pengambilan'!I101,'Pelan Pengambilan'!K101,'Pelan Pengambilan'!M101,'Pelan Pengambilan'!O101,'Pelan Pengambilan'!Q101,'Pelan Pengambilan'!S101,'Pelan Pengambilan'!U101,'Pelan Pengambilan'!W101,'Pelan Pengambilan'!Y101,'Pelan Pengambilan'!AA101,'Pelan Pengambilan'!AC101,'Pelan Pengambilan'!AE101)/COUNT('Pelan Pengambilan'!H101,'Pelan Pengambilan'!J101,'Pelan Pengambilan'!L101,'Pelan Pengambilan'!N101,'Pelan Pengambilan'!P101,'Pelan Pengambilan'!R101,'Pelan Pengambilan'!T101,'Pelan Pengambilan'!V101,'Pelan Pengambilan'!X101,'Pelan Pengambilan'!Z101,'Pelan Pengambilan'!AB101,'Pelan Pengambilan'!AD101)),"")</f>
        <v/>
      </c>
      <c r="F196" s="157" t="str">
        <f>IFERROR(IF('Pelan Pengambilan'!G101="","",'Pelan Pengambilan'!G101),"")</f>
        <v/>
      </c>
      <c r="G196" s="158"/>
      <c r="H196" s="158"/>
      <c r="I196" s="158"/>
      <c r="J196" s="158"/>
      <c r="K196" s="158"/>
      <c r="L196" s="158"/>
      <c r="M196" s="158"/>
      <c r="N196" s="158"/>
      <c r="O196" s="158"/>
      <c r="P196" s="158"/>
      <c r="Q196" s="158"/>
      <c r="R196" s="158"/>
      <c r="S196" s="158"/>
      <c r="T196" s="158"/>
      <c r="U196" s="158"/>
      <c r="V196" s="158"/>
      <c r="W196" s="158"/>
      <c r="X196" s="158"/>
      <c r="Y196" s="158"/>
      <c r="Z196" s="158"/>
      <c r="AA196" s="158"/>
      <c r="AB196" s="158"/>
      <c r="AC196" s="158"/>
      <c r="AD196" s="158"/>
      <c r="AE196" s="158"/>
      <c r="AF196" s="158"/>
      <c r="AG196" s="158"/>
      <c r="AH196" s="158"/>
      <c r="AI196" s="158"/>
      <c r="AJ196" s="158"/>
      <c r="AK196" s="158"/>
      <c r="AL196" s="158"/>
      <c r="AM196" s="158"/>
      <c r="AN196" s="158"/>
      <c r="AO196" s="158"/>
      <c r="AP196" s="158"/>
      <c r="AQ196" s="158"/>
      <c r="AR196" s="158"/>
      <c r="AS196" s="158"/>
      <c r="AT196" s="158"/>
      <c r="AU196" s="158"/>
      <c r="AV196" s="158"/>
      <c r="AW196" s="158"/>
      <c r="AX196" s="158"/>
      <c r="AY196" s="158"/>
      <c r="AZ196" s="158"/>
      <c r="BA196" s="158"/>
      <c r="BB196" s="158"/>
      <c r="BC196" s="158"/>
      <c r="BD196" s="158"/>
      <c r="BE196" s="158"/>
      <c r="BF196" s="158"/>
      <c r="BG196" s="158"/>
      <c r="BH196" s="158"/>
      <c r="BI196" s="158"/>
      <c r="BJ196" s="158"/>
      <c r="BK196" s="158"/>
      <c r="BL196" s="158"/>
      <c r="BM196" s="158"/>
      <c r="BN196" s="158"/>
      <c r="BO196" s="158"/>
      <c r="BP196" s="158"/>
      <c r="BQ196" s="158"/>
      <c r="BR196" s="158"/>
      <c r="BS196" s="158"/>
      <c r="BT196" s="158"/>
      <c r="BU196" s="158"/>
      <c r="BV196" s="158"/>
      <c r="BW196" s="158"/>
      <c r="BX196" s="158"/>
      <c r="BY196" s="158"/>
      <c r="BZ196" s="158"/>
      <c r="CA196" s="158"/>
      <c r="CB196" s="158"/>
      <c r="CC196" s="158"/>
      <c r="CD196" s="158"/>
      <c r="CE196" s="158"/>
      <c r="CF196" s="158"/>
      <c r="CG196" s="158"/>
      <c r="CH196" s="158"/>
      <c r="CI196" s="158"/>
      <c r="CJ196" s="158"/>
      <c r="CK196" s="158"/>
      <c r="CL196" s="158"/>
      <c r="CM196" s="158"/>
      <c r="CN196" s="158"/>
      <c r="CO196" s="158"/>
      <c r="CP196" s="158"/>
      <c r="CQ196" s="158"/>
      <c r="CR196" s="158"/>
      <c r="CS196" s="158"/>
      <c r="CT196" s="158"/>
      <c r="CU196" s="158"/>
      <c r="CV196" s="158"/>
      <c r="CW196" s="158"/>
      <c r="CX196" s="158"/>
      <c r="CY196" s="158"/>
      <c r="CZ196" s="158"/>
      <c r="DA196" s="158"/>
      <c r="DB196" s="158"/>
      <c r="DC196" s="158"/>
      <c r="DD196" s="158"/>
      <c r="DE196" s="158"/>
      <c r="DF196" s="158"/>
      <c r="DG196" s="158"/>
      <c r="DH196" s="154" t="str">
        <f>'Pelan Pengambilan'!AF101</f>
        <v/>
      </c>
      <c r="DI196" s="154"/>
      <c r="DJ196" s="3">
        <f>IFERROR(MIN('Pelan Pengambilan'!H101,'Pelan Pengambilan'!J101,'Pelan Pengambilan'!L101,'Pelan Pengambilan'!N101,'Pelan Pengambilan'!P101,'Pelan Pengambilan'!R101,'Pelan Pengambilan'!T101,'Pelan Pengambilan'!V101,'Pelan Pengambilan'!X101,'Pelan Pengambilan'!Z101,'Pelan Pengambilan'!AB101,'Pelan Pengambilan'!AD101),"")</f>
        <v>0</v>
      </c>
      <c r="DK196" s="3">
        <f>IFERROR(MAX('Pelan Pengambilan'!H101,'Pelan Pengambilan'!J101,'Pelan Pengambilan'!L101,'Pelan Pengambilan'!N101,'Pelan Pengambilan'!P101,'Pelan Pengambilan'!R101,'Pelan Pengambilan'!T101,'Pelan Pengambilan'!V101,'Pelan Pengambilan'!X101,'Pelan Pengambilan'!Z101,'Pelan Pengambilan'!AB101,'Pelan Pengambilan'!AD101),"")</f>
        <v>0</v>
      </c>
      <c r="DL196" s="3">
        <f>IFERROR(MIN('Pelan Pengambilan'!I101,'Pelan Pengambilan'!K101,'Pelan Pengambilan'!M101,'Pelan Pengambilan'!O101,'Pelan Pengambilan'!Q101,'Pelan Pengambilan'!S101,'Pelan Pengambilan'!U101,'Pelan Pengambilan'!W101,'Pelan Pengambilan'!Y101,'Pelan Pengambilan'!AA101,'Pelan Pengambilan'!AC101,'Pelan Pengambilan'!AE101),"")</f>
        <v>0</v>
      </c>
      <c r="DM196" s="3">
        <f>IFERROR(MAX('Pelan Pengambilan'!I101,'Pelan Pengambilan'!K101,'Pelan Pengambilan'!M101,'Pelan Pengambilan'!O101,'Pelan Pengambilan'!Q101,'Pelan Pengambilan'!S101,'Pelan Pengambilan'!U101,'Pelan Pengambilan'!W101,'Pelan Pengambilan'!Y101,'Pelan Pengambilan'!AA101,'Pelan Pengambilan'!AC101,'Pelan Pengambilan'!AE101),"")</f>
        <v>0</v>
      </c>
    </row>
    <row r="197" ht="19.5" customHeight="1">
      <c r="A197" s="41"/>
      <c r="B197" s="41"/>
      <c r="C197" s="41"/>
      <c r="D197" s="155" t="s">
        <v>276</v>
      </c>
      <c r="E197" s="41"/>
      <c r="F197" s="41"/>
      <c r="G197" s="158"/>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c r="CD197" s="158"/>
      <c r="CE197" s="158"/>
      <c r="CF197" s="158"/>
      <c r="CG197" s="158"/>
      <c r="CH197" s="158"/>
      <c r="CI197" s="158"/>
      <c r="CJ197" s="158"/>
      <c r="CK197" s="158"/>
      <c r="CL197" s="158"/>
      <c r="CM197" s="158"/>
      <c r="CN197" s="158"/>
      <c r="CO197" s="158"/>
      <c r="CP197" s="158"/>
      <c r="CQ197" s="158"/>
      <c r="CR197" s="158"/>
      <c r="CS197" s="158"/>
      <c r="CT197" s="158"/>
      <c r="CU197" s="158"/>
      <c r="CV197" s="158"/>
      <c r="CW197" s="158"/>
      <c r="CX197" s="158"/>
      <c r="CY197" s="158"/>
      <c r="CZ197" s="158"/>
      <c r="DA197" s="158"/>
      <c r="DB197" s="158"/>
      <c r="DC197" s="158"/>
      <c r="DD197" s="158"/>
      <c r="DE197" s="158"/>
      <c r="DF197" s="158"/>
      <c r="DG197" s="158"/>
      <c r="DH197" s="41"/>
      <c r="DI197" s="41"/>
      <c r="DJ197" s="3"/>
      <c r="DK197" s="3"/>
      <c r="DL197" s="3"/>
      <c r="DM197" s="3"/>
    </row>
    <row r="198" ht="19.5" customHeight="1">
      <c r="A198" s="153" t="str">
        <f>'Pelan Pengambilan'!B102</f>
        <v/>
      </c>
      <c r="B198" s="154" t="str">
        <f>'Pelan Pengambilan'!C102</f>
        <v/>
      </c>
      <c r="C198" s="153" t="str">
        <f t="array" ref="C198">IFERROR(IF(INDEX(Strategi!$F$5:$F$134,MATCH(LARGE(Strategi!$K$5:$K$134,97),Strategi!$K$5:$K$134,0))="","","("&amp;COUNTIFS('Pelan Pengambilan'!$B$6:$B$102,'Pelan Pengambilan'!$B102,'Pelan Pengambilan'!$C$6:$C$102,'Pelan Pengambilan'!$C102)&amp;") "&amp;INDEX(Strategi!$F$5:$F$134,MATCH(LARGE(Strategi!$K$5:$K$134,97),Strategi!$K$5:$K$134,0))),"")</f>
        <v/>
      </c>
      <c r="D198" s="155" t="s">
        <v>275</v>
      </c>
      <c r="E198" s="156" t="str">
        <f>IFERROR(IF(COUNT('Pelan Pengambilan'!H102,'Pelan Pengambilan'!J102,'Pelan Pengambilan'!L102,'Pelan Pengambilan'!N102,'Pelan Pengambilan'!P102,'Pelan Pengambilan'!R102,'Pelan Pengambilan'!T102,'Pelan Pengambilan'!V102,'Pelan Pengambilan'!X102,'Pelan Pengambilan'!Z102,'Pelan Pengambilan'!AB102,'Pelan Pengambilan'!AD102)=0,"",COUNT('Pelan Pengambilan'!I102,'Pelan Pengambilan'!K102,'Pelan Pengambilan'!M102,'Pelan Pengambilan'!O102,'Pelan Pengambilan'!Q102,'Pelan Pengambilan'!S102,'Pelan Pengambilan'!U102,'Pelan Pengambilan'!W102,'Pelan Pengambilan'!Y102,'Pelan Pengambilan'!AA102,'Pelan Pengambilan'!AC102,'Pelan Pengambilan'!AE102)/COUNT('Pelan Pengambilan'!H102,'Pelan Pengambilan'!J102,'Pelan Pengambilan'!L102,'Pelan Pengambilan'!N102,'Pelan Pengambilan'!P102,'Pelan Pengambilan'!R102,'Pelan Pengambilan'!T102,'Pelan Pengambilan'!V102,'Pelan Pengambilan'!X102,'Pelan Pengambilan'!Z102,'Pelan Pengambilan'!AB102,'Pelan Pengambilan'!AD102)),"")</f>
        <v/>
      </c>
      <c r="F198" s="157" t="str">
        <f>IFERROR(IF('Pelan Pengambilan'!G102="","",'Pelan Pengambilan'!G102),"")</f>
        <v/>
      </c>
      <c r="G198" s="158"/>
      <c r="H198" s="158"/>
      <c r="I198" s="158"/>
      <c r="J198" s="158"/>
      <c r="K198" s="158"/>
      <c r="L198" s="158"/>
      <c r="M198" s="158"/>
      <c r="N198" s="158"/>
      <c r="O198" s="158"/>
      <c r="P198" s="158"/>
      <c r="Q198" s="158"/>
      <c r="R198" s="158"/>
      <c r="S198" s="158"/>
      <c r="T198" s="158"/>
      <c r="U198" s="158"/>
      <c r="V198" s="158"/>
      <c r="W198" s="158"/>
      <c r="X198" s="158"/>
      <c r="Y198" s="158"/>
      <c r="Z198" s="158"/>
      <c r="AA198" s="158"/>
      <c r="AB198" s="158"/>
      <c r="AC198" s="158"/>
      <c r="AD198" s="158"/>
      <c r="AE198" s="158"/>
      <c r="AF198" s="158"/>
      <c r="AG198" s="158"/>
      <c r="AH198" s="158"/>
      <c r="AI198" s="158"/>
      <c r="AJ198" s="158"/>
      <c r="AK198" s="158"/>
      <c r="AL198" s="158"/>
      <c r="AM198" s="158"/>
      <c r="AN198" s="158"/>
      <c r="AO198" s="158"/>
      <c r="AP198" s="158"/>
      <c r="AQ198" s="158"/>
      <c r="AR198" s="158"/>
      <c r="AS198" s="158"/>
      <c r="AT198" s="158"/>
      <c r="AU198" s="158"/>
      <c r="AV198" s="158"/>
      <c r="AW198" s="158"/>
      <c r="AX198" s="158"/>
      <c r="AY198" s="158"/>
      <c r="AZ198" s="158"/>
      <c r="BA198" s="158"/>
      <c r="BB198" s="158"/>
      <c r="BC198" s="158"/>
      <c r="BD198" s="158"/>
      <c r="BE198" s="158"/>
      <c r="BF198" s="158"/>
      <c r="BG198" s="158"/>
      <c r="BH198" s="158"/>
      <c r="BI198" s="158"/>
      <c r="BJ198" s="158"/>
      <c r="BK198" s="158"/>
      <c r="BL198" s="158"/>
      <c r="BM198" s="158"/>
      <c r="BN198" s="158"/>
      <c r="BO198" s="158"/>
      <c r="BP198" s="158"/>
      <c r="BQ198" s="158"/>
      <c r="BR198" s="158"/>
      <c r="BS198" s="158"/>
      <c r="BT198" s="158"/>
      <c r="BU198" s="158"/>
      <c r="BV198" s="158"/>
      <c r="BW198" s="158"/>
      <c r="BX198" s="158"/>
      <c r="BY198" s="158"/>
      <c r="BZ198" s="158"/>
      <c r="CA198" s="158"/>
      <c r="CB198" s="158"/>
      <c r="CC198" s="158"/>
      <c r="CD198" s="158"/>
      <c r="CE198" s="158"/>
      <c r="CF198" s="158"/>
      <c r="CG198" s="158"/>
      <c r="CH198" s="158"/>
      <c r="CI198" s="158"/>
      <c r="CJ198" s="158"/>
      <c r="CK198" s="158"/>
      <c r="CL198" s="158"/>
      <c r="CM198" s="158"/>
      <c r="CN198" s="158"/>
      <c r="CO198" s="158"/>
      <c r="CP198" s="158"/>
      <c r="CQ198" s="158"/>
      <c r="CR198" s="158"/>
      <c r="CS198" s="158"/>
      <c r="CT198" s="158"/>
      <c r="CU198" s="158"/>
      <c r="CV198" s="158"/>
      <c r="CW198" s="158"/>
      <c r="CX198" s="158"/>
      <c r="CY198" s="158"/>
      <c r="CZ198" s="158"/>
      <c r="DA198" s="158"/>
      <c r="DB198" s="158"/>
      <c r="DC198" s="158"/>
      <c r="DD198" s="158"/>
      <c r="DE198" s="158"/>
      <c r="DF198" s="158"/>
      <c r="DG198" s="158"/>
      <c r="DH198" s="154" t="str">
        <f>'Pelan Pengambilan'!AF102</f>
        <v/>
      </c>
      <c r="DI198" s="154"/>
      <c r="DJ198" s="3">
        <f>IFERROR(MIN('Pelan Pengambilan'!H102,'Pelan Pengambilan'!J102,'Pelan Pengambilan'!L102,'Pelan Pengambilan'!N102,'Pelan Pengambilan'!P102,'Pelan Pengambilan'!R102,'Pelan Pengambilan'!T102,'Pelan Pengambilan'!V102,'Pelan Pengambilan'!X102,'Pelan Pengambilan'!Z102,'Pelan Pengambilan'!AB102,'Pelan Pengambilan'!AD102),"")</f>
        <v>0</v>
      </c>
      <c r="DK198" s="3">
        <f>IFERROR(MAX('Pelan Pengambilan'!H102,'Pelan Pengambilan'!J102,'Pelan Pengambilan'!L102,'Pelan Pengambilan'!N102,'Pelan Pengambilan'!P102,'Pelan Pengambilan'!R102,'Pelan Pengambilan'!T102,'Pelan Pengambilan'!V102,'Pelan Pengambilan'!X102,'Pelan Pengambilan'!Z102,'Pelan Pengambilan'!AB102,'Pelan Pengambilan'!AD102),"")</f>
        <v>0</v>
      </c>
      <c r="DL198" s="3">
        <f>IFERROR(MIN('Pelan Pengambilan'!I102,'Pelan Pengambilan'!K102,'Pelan Pengambilan'!M102,'Pelan Pengambilan'!O102,'Pelan Pengambilan'!Q102,'Pelan Pengambilan'!S102,'Pelan Pengambilan'!U102,'Pelan Pengambilan'!W102,'Pelan Pengambilan'!Y102,'Pelan Pengambilan'!AA102,'Pelan Pengambilan'!AC102,'Pelan Pengambilan'!AE102),"")</f>
        <v>0</v>
      </c>
      <c r="DM198" s="3">
        <f>IFERROR(MAX('Pelan Pengambilan'!I102,'Pelan Pengambilan'!K102,'Pelan Pengambilan'!M102,'Pelan Pengambilan'!O102,'Pelan Pengambilan'!Q102,'Pelan Pengambilan'!S102,'Pelan Pengambilan'!U102,'Pelan Pengambilan'!W102,'Pelan Pengambilan'!Y102,'Pelan Pengambilan'!AA102,'Pelan Pengambilan'!AC102,'Pelan Pengambilan'!AE102),"")</f>
        <v>0</v>
      </c>
    </row>
    <row r="199" ht="19.5" customHeight="1">
      <c r="A199" s="41"/>
      <c r="B199" s="41"/>
      <c r="C199" s="41"/>
      <c r="D199" s="155" t="s">
        <v>276</v>
      </c>
      <c r="E199" s="41"/>
      <c r="F199" s="41"/>
      <c r="G199" s="158"/>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c r="CD199" s="158"/>
      <c r="CE199" s="158"/>
      <c r="CF199" s="158"/>
      <c r="CG199" s="158"/>
      <c r="CH199" s="158"/>
      <c r="CI199" s="158"/>
      <c r="CJ199" s="158"/>
      <c r="CK199" s="158"/>
      <c r="CL199" s="158"/>
      <c r="CM199" s="158"/>
      <c r="CN199" s="158"/>
      <c r="CO199" s="158"/>
      <c r="CP199" s="158"/>
      <c r="CQ199" s="158"/>
      <c r="CR199" s="158"/>
      <c r="CS199" s="158"/>
      <c r="CT199" s="158"/>
      <c r="CU199" s="158"/>
      <c r="CV199" s="158"/>
      <c r="CW199" s="158"/>
      <c r="CX199" s="158"/>
      <c r="CY199" s="158"/>
      <c r="CZ199" s="158"/>
      <c r="DA199" s="158"/>
      <c r="DB199" s="158"/>
      <c r="DC199" s="158"/>
      <c r="DD199" s="158"/>
      <c r="DE199" s="158"/>
      <c r="DF199" s="158"/>
      <c r="DG199" s="158"/>
      <c r="DH199" s="41"/>
      <c r="DI199" s="41"/>
      <c r="DJ199" s="3"/>
      <c r="DK199" s="3"/>
      <c r="DL199" s="3"/>
      <c r="DM199" s="3"/>
    </row>
    <row r="200" ht="19.5" customHeight="1">
      <c r="A200" s="153" t="str">
        <f>'Pelan Pengambilan'!B103</f>
        <v/>
      </c>
      <c r="B200" s="154" t="str">
        <f>'Pelan Pengambilan'!C103</f>
        <v/>
      </c>
      <c r="C200" s="153" t="str">
        <f t="array" ref="C200">IFERROR(IF(INDEX(Strategi!$F$5:$F$134,MATCH(LARGE(Strategi!$K$5:$K$134,98),Strategi!$K$5:$K$134,0))="","","("&amp;COUNTIFS('Pelan Pengambilan'!$B$6:$B$103,'Pelan Pengambilan'!$B103,'Pelan Pengambilan'!$C$6:$C$103,'Pelan Pengambilan'!$C103)&amp;") "&amp;INDEX(Strategi!$F$5:$F$134,MATCH(LARGE(Strategi!$K$5:$K$134,98),Strategi!$K$5:$K$134,0))),"")</f>
        <v/>
      </c>
      <c r="D200" s="155" t="s">
        <v>275</v>
      </c>
      <c r="E200" s="156" t="str">
        <f>IFERROR(IF(COUNT('Pelan Pengambilan'!H103,'Pelan Pengambilan'!J103,'Pelan Pengambilan'!L103,'Pelan Pengambilan'!N103,'Pelan Pengambilan'!P103,'Pelan Pengambilan'!R103,'Pelan Pengambilan'!T103,'Pelan Pengambilan'!V103,'Pelan Pengambilan'!X103,'Pelan Pengambilan'!Z103,'Pelan Pengambilan'!AB103,'Pelan Pengambilan'!AD103)=0,"",COUNT('Pelan Pengambilan'!I103,'Pelan Pengambilan'!K103,'Pelan Pengambilan'!M103,'Pelan Pengambilan'!O103,'Pelan Pengambilan'!Q103,'Pelan Pengambilan'!S103,'Pelan Pengambilan'!U103,'Pelan Pengambilan'!W103,'Pelan Pengambilan'!Y103,'Pelan Pengambilan'!AA103,'Pelan Pengambilan'!AC103,'Pelan Pengambilan'!AE103)/COUNT('Pelan Pengambilan'!H103,'Pelan Pengambilan'!J103,'Pelan Pengambilan'!L103,'Pelan Pengambilan'!N103,'Pelan Pengambilan'!P103,'Pelan Pengambilan'!R103,'Pelan Pengambilan'!T103,'Pelan Pengambilan'!V103,'Pelan Pengambilan'!X103,'Pelan Pengambilan'!Z103,'Pelan Pengambilan'!AB103,'Pelan Pengambilan'!AD103)),"")</f>
        <v/>
      </c>
      <c r="F200" s="157" t="str">
        <f>IFERROR(IF('Pelan Pengambilan'!G103="","",'Pelan Pengambilan'!G103),"")</f>
        <v/>
      </c>
      <c r="G200" s="158"/>
      <c r="H200" s="158"/>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c r="CD200" s="158"/>
      <c r="CE200" s="158"/>
      <c r="CF200" s="158"/>
      <c r="CG200" s="158"/>
      <c r="CH200" s="158"/>
      <c r="CI200" s="158"/>
      <c r="CJ200" s="158"/>
      <c r="CK200" s="158"/>
      <c r="CL200" s="158"/>
      <c r="CM200" s="158"/>
      <c r="CN200" s="158"/>
      <c r="CO200" s="158"/>
      <c r="CP200" s="158"/>
      <c r="CQ200" s="158"/>
      <c r="CR200" s="158"/>
      <c r="CS200" s="158"/>
      <c r="CT200" s="158"/>
      <c r="CU200" s="158"/>
      <c r="CV200" s="158"/>
      <c r="CW200" s="158"/>
      <c r="CX200" s="158"/>
      <c r="CY200" s="158"/>
      <c r="CZ200" s="158"/>
      <c r="DA200" s="158"/>
      <c r="DB200" s="158"/>
      <c r="DC200" s="158"/>
      <c r="DD200" s="158"/>
      <c r="DE200" s="158"/>
      <c r="DF200" s="158"/>
      <c r="DG200" s="158"/>
      <c r="DH200" s="154" t="str">
        <f>'Pelan Pengambilan'!AF103</f>
        <v/>
      </c>
      <c r="DI200" s="154"/>
      <c r="DJ200" s="3">
        <f>IFERROR(MIN('Pelan Pengambilan'!H103,'Pelan Pengambilan'!J103,'Pelan Pengambilan'!L103,'Pelan Pengambilan'!N103,'Pelan Pengambilan'!P103,'Pelan Pengambilan'!R103,'Pelan Pengambilan'!T103,'Pelan Pengambilan'!V103,'Pelan Pengambilan'!X103,'Pelan Pengambilan'!Z103,'Pelan Pengambilan'!AB103,'Pelan Pengambilan'!AD103),"")</f>
        <v>0</v>
      </c>
      <c r="DK200" s="3">
        <f>IFERROR(MAX('Pelan Pengambilan'!H103,'Pelan Pengambilan'!J103,'Pelan Pengambilan'!L103,'Pelan Pengambilan'!N103,'Pelan Pengambilan'!P103,'Pelan Pengambilan'!R103,'Pelan Pengambilan'!T103,'Pelan Pengambilan'!V103,'Pelan Pengambilan'!X103,'Pelan Pengambilan'!Z103,'Pelan Pengambilan'!AB103,'Pelan Pengambilan'!AD103),"")</f>
        <v>0</v>
      </c>
      <c r="DL200" s="3">
        <f>IFERROR(MIN('Pelan Pengambilan'!I103,'Pelan Pengambilan'!K103,'Pelan Pengambilan'!M103,'Pelan Pengambilan'!O103,'Pelan Pengambilan'!Q103,'Pelan Pengambilan'!S103,'Pelan Pengambilan'!U103,'Pelan Pengambilan'!W103,'Pelan Pengambilan'!Y103,'Pelan Pengambilan'!AA103,'Pelan Pengambilan'!AC103,'Pelan Pengambilan'!AE103),"")</f>
        <v>0</v>
      </c>
      <c r="DM200" s="3">
        <f>IFERROR(MAX('Pelan Pengambilan'!I103,'Pelan Pengambilan'!K103,'Pelan Pengambilan'!M103,'Pelan Pengambilan'!O103,'Pelan Pengambilan'!Q103,'Pelan Pengambilan'!S103,'Pelan Pengambilan'!U103,'Pelan Pengambilan'!W103,'Pelan Pengambilan'!Y103,'Pelan Pengambilan'!AA103,'Pelan Pengambilan'!AC103,'Pelan Pengambilan'!AE103),"")</f>
        <v>0</v>
      </c>
    </row>
    <row r="201" ht="19.5" customHeight="1">
      <c r="A201" s="41"/>
      <c r="B201" s="41"/>
      <c r="C201" s="41"/>
      <c r="D201" s="155" t="s">
        <v>276</v>
      </c>
      <c r="E201" s="41"/>
      <c r="F201" s="41"/>
      <c r="G201" s="158"/>
      <c r="H201" s="158"/>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c r="CD201" s="158"/>
      <c r="CE201" s="158"/>
      <c r="CF201" s="158"/>
      <c r="CG201" s="158"/>
      <c r="CH201" s="158"/>
      <c r="CI201" s="158"/>
      <c r="CJ201" s="158"/>
      <c r="CK201" s="158"/>
      <c r="CL201" s="158"/>
      <c r="CM201" s="158"/>
      <c r="CN201" s="158"/>
      <c r="CO201" s="158"/>
      <c r="CP201" s="158"/>
      <c r="CQ201" s="158"/>
      <c r="CR201" s="158"/>
      <c r="CS201" s="158"/>
      <c r="CT201" s="158"/>
      <c r="CU201" s="158"/>
      <c r="CV201" s="158"/>
      <c r="CW201" s="158"/>
      <c r="CX201" s="158"/>
      <c r="CY201" s="158"/>
      <c r="CZ201" s="158"/>
      <c r="DA201" s="158"/>
      <c r="DB201" s="158"/>
      <c r="DC201" s="158"/>
      <c r="DD201" s="158"/>
      <c r="DE201" s="158"/>
      <c r="DF201" s="158"/>
      <c r="DG201" s="158"/>
      <c r="DH201" s="41"/>
      <c r="DI201" s="41"/>
      <c r="DJ201" s="3"/>
      <c r="DK201" s="3"/>
      <c r="DL201" s="3"/>
      <c r="DM201" s="3"/>
    </row>
    <row r="202" ht="19.5" customHeight="1">
      <c r="A202" s="153" t="str">
        <f>'Pelan Pengambilan'!B104</f>
        <v/>
      </c>
      <c r="B202" s="154" t="str">
        <f>'Pelan Pengambilan'!C104</f>
        <v/>
      </c>
      <c r="C202" s="153" t="str">
        <f t="array" ref="C202">IFERROR(IF(INDEX(Strategi!$F$5:$F$134,MATCH(LARGE(Strategi!$K$5:$K$134,99),Strategi!$K$5:$K$134,0))="","","("&amp;COUNTIFS('Pelan Pengambilan'!$B$6:$B$104,'Pelan Pengambilan'!$B104,'Pelan Pengambilan'!$C$6:$C$104,'Pelan Pengambilan'!$C104)&amp;") "&amp;INDEX(Strategi!$F$5:$F$134,MATCH(LARGE(Strategi!$K$5:$K$134,99),Strategi!$K$5:$K$134,0))),"")</f>
        <v/>
      </c>
      <c r="D202" s="155" t="s">
        <v>275</v>
      </c>
      <c r="E202" s="156" t="str">
        <f>IFERROR(IF(COUNT('Pelan Pengambilan'!H104,'Pelan Pengambilan'!J104,'Pelan Pengambilan'!L104,'Pelan Pengambilan'!N104,'Pelan Pengambilan'!P104,'Pelan Pengambilan'!R104,'Pelan Pengambilan'!T104,'Pelan Pengambilan'!V104,'Pelan Pengambilan'!X104,'Pelan Pengambilan'!Z104,'Pelan Pengambilan'!AB104,'Pelan Pengambilan'!AD104)=0,"",COUNT('Pelan Pengambilan'!I104,'Pelan Pengambilan'!K104,'Pelan Pengambilan'!M104,'Pelan Pengambilan'!O104,'Pelan Pengambilan'!Q104,'Pelan Pengambilan'!S104,'Pelan Pengambilan'!U104,'Pelan Pengambilan'!W104,'Pelan Pengambilan'!Y104,'Pelan Pengambilan'!AA104,'Pelan Pengambilan'!AC104,'Pelan Pengambilan'!AE104)/COUNT('Pelan Pengambilan'!H104,'Pelan Pengambilan'!J104,'Pelan Pengambilan'!L104,'Pelan Pengambilan'!N104,'Pelan Pengambilan'!P104,'Pelan Pengambilan'!R104,'Pelan Pengambilan'!T104,'Pelan Pengambilan'!V104,'Pelan Pengambilan'!X104,'Pelan Pengambilan'!Z104,'Pelan Pengambilan'!AB104,'Pelan Pengambilan'!AD104)),"")</f>
        <v/>
      </c>
      <c r="F202" s="157" t="str">
        <f>IFERROR(IF('Pelan Pengambilan'!G104="","",'Pelan Pengambilan'!G104),"")</f>
        <v/>
      </c>
      <c r="G202" s="158"/>
      <c r="H202" s="158"/>
      <c r="I202" s="158"/>
      <c r="J202" s="158"/>
      <c r="K202" s="158"/>
      <c r="L202" s="158"/>
      <c r="M202" s="158"/>
      <c r="N202" s="158"/>
      <c r="O202" s="158"/>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c r="CD202" s="158"/>
      <c r="CE202" s="158"/>
      <c r="CF202" s="158"/>
      <c r="CG202" s="158"/>
      <c r="CH202" s="158"/>
      <c r="CI202" s="158"/>
      <c r="CJ202" s="158"/>
      <c r="CK202" s="158"/>
      <c r="CL202" s="158"/>
      <c r="CM202" s="158"/>
      <c r="CN202" s="158"/>
      <c r="CO202" s="158"/>
      <c r="CP202" s="158"/>
      <c r="CQ202" s="158"/>
      <c r="CR202" s="158"/>
      <c r="CS202" s="158"/>
      <c r="CT202" s="158"/>
      <c r="CU202" s="158"/>
      <c r="CV202" s="158"/>
      <c r="CW202" s="158"/>
      <c r="CX202" s="158"/>
      <c r="CY202" s="158"/>
      <c r="CZ202" s="158"/>
      <c r="DA202" s="158"/>
      <c r="DB202" s="158"/>
      <c r="DC202" s="158"/>
      <c r="DD202" s="158"/>
      <c r="DE202" s="158"/>
      <c r="DF202" s="158"/>
      <c r="DG202" s="158"/>
      <c r="DH202" s="154" t="str">
        <f>'Pelan Pengambilan'!AF104</f>
        <v/>
      </c>
      <c r="DI202" s="154"/>
      <c r="DJ202" s="3">
        <f>IFERROR(MIN('Pelan Pengambilan'!H104,'Pelan Pengambilan'!J104,'Pelan Pengambilan'!L104,'Pelan Pengambilan'!N104,'Pelan Pengambilan'!P104,'Pelan Pengambilan'!R104,'Pelan Pengambilan'!T104,'Pelan Pengambilan'!V104,'Pelan Pengambilan'!X104,'Pelan Pengambilan'!Z104,'Pelan Pengambilan'!AB104,'Pelan Pengambilan'!AD104),"")</f>
        <v>0</v>
      </c>
      <c r="DK202" s="3">
        <f>IFERROR(MAX('Pelan Pengambilan'!H104,'Pelan Pengambilan'!J104,'Pelan Pengambilan'!L104,'Pelan Pengambilan'!N104,'Pelan Pengambilan'!P104,'Pelan Pengambilan'!R104,'Pelan Pengambilan'!T104,'Pelan Pengambilan'!V104,'Pelan Pengambilan'!X104,'Pelan Pengambilan'!Z104,'Pelan Pengambilan'!AB104,'Pelan Pengambilan'!AD104),"")</f>
        <v>0</v>
      </c>
      <c r="DL202" s="3">
        <f>IFERROR(MIN('Pelan Pengambilan'!I104,'Pelan Pengambilan'!K104,'Pelan Pengambilan'!M104,'Pelan Pengambilan'!O104,'Pelan Pengambilan'!Q104,'Pelan Pengambilan'!S104,'Pelan Pengambilan'!U104,'Pelan Pengambilan'!W104,'Pelan Pengambilan'!Y104,'Pelan Pengambilan'!AA104,'Pelan Pengambilan'!AC104,'Pelan Pengambilan'!AE104),"")</f>
        <v>0</v>
      </c>
      <c r="DM202" s="3">
        <f>IFERROR(MAX('Pelan Pengambilan'!I104,'Pelan Pengambilan'!K104,'Pelan Pengambilan'!M104,'Pelan Pengambilan'!O104,'Pelan Pengambilan'!Q104,'Pelan Pengambilan'!S104,'Pelan Pengambilan'!U104,'Pelan Pengambilan'!W104,'Pelan Pengambilan'!Y104,'Pelan Pengambilan'!AA104,'Pelan Pengambilan'!AC104,'Pelan Pengambilan'!AE104),"")</f>
        <v>0</v>
      </c>
    </row>
    <row r="203" ht="19.5" customHeight="1">
      <c r="A203" s="41"/>
      <c r="B203" s="41"/>
      <c r="C203" s="41"/>
      <c r="D203" s="155" t="s">
        <v>276</v>
      </c>
      <c r="E203" s="41"/>
      <c r="F203" s="41"/>
      <c r="G203" s="158"/>
      <c r="H203" s="158"/>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c r="CD203" s="158"/>
      <c r="CE203" s="158"/>
      <c r="CF203" s="158"/>
      <c r="CG203" s="158"/>
      <c r="CH203" s="158"/>
      <c r="CI203" s="158"/>
      <c r="CJ203" s="158"/>
      <c r="CK203" s="158"/>
      <c r="CL203" s="158"/>
      <c r="CM203" s="158"/>
      <c r="CN203" s="158"/>
      <c r="CO203" s="158"/>
      <c r="CP203" s="158"/>
      <c r="CQ203" s="158"/>
      <c r="CR203" s="158"/>
      <c r="CS203" s="158"/>
      <c r="CT203" s="158"/>
      <c r="CU203" s="158"/>
      <c r="CV203" s="158"/>
      <c r="CW203" s="158"/>
      <c r="CX203" s="158"/>
      <c r="CY203" s="158"/>
      <c r="CZ203" s="158"/>
      <c r="DA203" s="158"/>
      <c r="DB203" s="158"/>
      <c r="DC203" s="158"/>
      <c r="DD203" s="158"/>
      <c r="DE203" s="158"/>
      <c r="DF203" s="158"/>
      <c r="DG203" s="158"/>
      <c r="DH203" s="41"/>
      <c r="DI203" s="41"/>
      <c r="DJ203" s="3"/>
      <c r="DK203" s="3"/>
      <c r="DL203" s="3"/>
      <c r="DM203" s="3"/>
    </row>
    <row r="204" ht="19.5" customHeight="1">
      <c r="A204" s="153" t="str">
        <f>'Pelan Pengambilan'!B105</f>
        <v/>
      </c>
      <c r="B204" s="154" t="str">
        <f>'Pelan Pengambilan'!C105</f>
        <v/>
      </c>
      <c r="C204" s="153" t="str">
        <f t="array" ref="C204">IFERROR(IF(INDEX(Strategi!$F$5:$F$134,MATCH(LARGE(Strategi!$K$5:$K$134,100),Strategi!$K$5:$K$134,0))="","","("&amp;COUNTIFS('Pelan Pengambilan'!$B$6:$B$105,'Pelan Pengambilan'!$B105,'Pelan Pengambilan'!$C$6:$C$105,'Pelan Pengambilan'!$C105)&amp;") "&amp;INDEX(Strategi!$F$5:$F$134,MATCH(LARGE(Strategi!$K$5:$K$134,100),Strategi!$K$5:$K$134,0))),"")</f>
        <v/>
      </c>
      <c r="D204" s="155" t="s">
        <v>275</v>
      </c>
      <c r="E204" s="156" t="str">
        <f>IFERROR(IF(COUNT('Pelan Pengambilan'!H105,'Pelan Pengambilan'!J105,'Pelan Pengambilan'!L105,'Pelan Pengambilan'!N105,'Pelan Pengambilan'!P105,'Pelan Pengambilan'!R105,'Pelan Pengambilan'!T105,'Pelan Pengambilan'!V105,'Pelan Pengambilan'!X105,'Pelan Pengambilan'!Z105,'Pelan Pengambilan'!AB105,'Pelan Pengambilan'!AD105)=0,"",COUNT('Pelan Pengambilan'!I105,'Pelan Pengambilan'!K105,'Pelan Pengambilan'!M105,'Pelan Pengambilan'!O105,'Pelan Pengambilan'!Q105,'Pelan Pengambilan'!S105,'Pelan Pengambilan'!U105,'Pelan Pengambilan'!W105,'Pelan Pengambilan'!Y105,'Pelan Pengambilan'!AA105,'Pelan Pengambilan'!AC105,'Pelan Pengambilan'!AE105)/COUNT('Pelan Pengambilan'!H105,'Pelan Pengambilan'!J105,'Pelan Pengambilan'!L105,'Pelan Pengambilan'!N105,'Pelan Pengambilan'!P105,'Pelan Pengambilan'!R105,'Pelan Pengambilan'!T105,'Pelan Pengambilan'!V105,'Pelan Pengambilan'!X105,'Pelan Pengambilan'!Z105,'Pelan Pengambilan'!AB105,'Pelan Pengambilan'!AD105)),"")</f>
        <v/>
      </c>
      <c r="F204" s="157" t="str">
        <f>IFERROR(IF('Pelan Pengambilan'!G105="","",'Pelan Pengambilan'!G105),"")</f>
        <v/>
      </c>
      <c r="G204" s="158"/>
      <c r="H204" s="158"/>
      <c r="I204" s="158"/>
      <c r="J204" s="158"/>
      <c r="K204" s="158"/>
      <c r="L204" s="158"/>
      <c r="M204" s="158"/>
      <c r="N204" s="158"/>
      <c r="O204" s="158"/>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c r="CD204" s="158"/>
      <c r="CE204" s="158"/>
      <c r="CF204" s="158"/>
      <c r="CG204" s="158"/>
      <c r="CH204" s="158"/>
      <c r="CI204" s="158"/>
      <c r="CJ204" s="158"/>
      <c r="CK204" s="158"/>
      <c r="CL204" s="158"/>
      <c r="CM204" s="158"/>
      <c r="CN204" s="158"/>
      <c r="CO204" s="158"/>
      <c r="CP204" s="158"/>
      <c r="CQ204" s="158"/>
      <c r="CR204" s="158"/>
      <c r="CS204" s="158"/>
      <c r="CT204" s="158"/>
      <c r="CU204" s="158"/>
      <c r="CV204" s="158"/>
      <c r="CW204" s="158"/>
      <c r="CX204" s="158"/>
      <c r="CY204" s="158"/>
      <c r="CZ204" s="158"/>
      <c r="DA204" s="158"/>
      <c r="DB204" s="158"/>
      <c r="DC204" s="158"/>
      <c r="DD204" s="158"/>
      <c r="DE204" s="158"/>
      <c r="DF204" s="158"/>
      <c r="DG204" s="158"/>
      <c r="DH204" s="154" t="str">
        <f>'Pelan Pengambilan'!AF105</f>
        <v/>
      </c>
      <c r="DI204" s="154"/>
      <c r="DJ204" s="3">
        <f>IFERROR(MIN('Pelan Pengambilan'!H105,'Pelan Pengambilan'!J105,'Pelan Pengambilan'!L105,'Pelan Pengambilan'!N105,'Pelan Pengambilan'!P105,'Pelan Pengambilan'!R105,'Pelan Pengambilan'!T105,'Pelan Pengambilan'!V105,'Pelan Pengambilan'!X105,'Pelan Pengambilan'!Z105,'Pelan Pengambilan'!AB105,'Pelan Pengambilan'!AD105),"")</f>
        <v>0</v>
      </c>
      <c r="DK204" s="3">
        <f>IFERROR(MAX('Pelan Pengambilan'!H105,'Pelan Pengambilan'!J105,'Pelan Pengambilan'!L105,'Pelan Pengambilan'!N105,'Pelan Pengambilan'!P105,'Pelan Pengambilan'!R105,'Pelan Pengambilan'!T105,'Pelan Pengambilan'!V105,'Pelan Pengambilan'!X105,'Pelan Pengambilan'!Z105,'Pelan Pengambilan'!AB105,'Pelan Pengambilan'!AD105),"")</f>
        <v>0</v>
      </c>
      <c r="DL204" s="3">
        <f>IFERROR(MIN('Pelan Pengambilan'!I105,'Pelan Pengambilan'!K105,'Pelan Pengambilan'!M105,'Pelan Pengambilan'!O105,'Pelan Pengambilan'!Q105,'Pelan Pengambilan'!S105,'Pelan Pengambilan'!U105,'Pelan Pengambilan'!W105,'Pelan Pengambilan'!Y105,'Pelan Pengambilan'!AA105,'Pelan Pengambilan'!AC105,'Pelan Pengambilan'!AE105),"")</f>
        <v>0</v>
      </c>
      <c r="DM204" s="3">
        <f>IFERROR(MAX('Pelan Pengambilan'!I105,'Pelan Pengambilan'!K105,'Pelan Pengambilan'!M105,'Pelan Pengambilan'!O105,'Pelan Pengambilan'!Q105,'Pelan Pengambilan'!S105,'Pelan Pengambilan'!U105,'Pelan Pengambilan'!W105,'Pelan Pengambilan'!Y105,'Pelan Pengambilan'!AA105,'Pelan Pengambilan'!AC105,'Pelan Pengambilan'!AE105),"")</f>
        <v>0</v>
      </c>
    </row>
    <row r="205" ht="19.5" customHeight="1">
      <c r="A205" s="41"/>
      <c r="B205" s="41"/>
      <c r="C205" s="41"/>
      <c r="D205" s="155" t="s">
        <v>276</v>
      </c>
      <c r="E205" s="41"/>
      <c r="F205" s="41"/>
      <c r="G205" s="158"/>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c r="CD205" s="158"/>
      <c r="CE205" s="158"/>
      <c r="CF205" s="158"/>
      <c r="CG205" s="158"/>
      <c r="CH205" s="158"/>
      <c r="CI205" s="158"/>
      <c r="CJ205" s="158"/>
      <c r="CK205" s="158"/>
      <c r="CL205" s="158"/>
      <c r="CM205" s="158"/>
      <c r="CN205" s="158"/>
      <c r="CO205" s="158"/>
      <c r="CP205" s="158"/>
      <c r="CQ205" s="158"/>
      <c r="CR205" s="158"/>
      <c r="CS205" s="158"/>
      <c r="CT205" s="158"/>
      <c r="CU205" s="158"/>
      <c r="CV205" s="158"/>
      <c r="CW205" s="158"/>
      <c r="CX205" s="158"/>
      <c r="CY205" s="158"/>
      <c r="CZ205" s="158"/>
      <c r="DA205" s="158"/>
      <c r="DB205" s="158"/>
      <c r="DC205" s="158"/>
      <c r="DD205" s="158"/>
      <c r="DE205" s="158"/>
      <c r="DF205" s="158"/>
      <c r="DG205" s="158"/>
      <c r="DH205" s="41"/>
      <c r="DI205" s="41"/>
      <c r="DJ205" s="3"/>
      <c r="DK205" s="3"/>
      <c r="DL205" s="3"/>
      <c r="DM205" s="3"/>
    </row>
    <row r="206" ht="19.5" customHeight="1">
      <c r="A206" s="153" t="str">
        <f>'Pelan Pengambilan'!B106</f>
        <v/>
      </c>
      <c r="B206" s="154" t="str">
        <f>'Pelan Pengambilan'!C106</f>
        <v/>
      </c>
      <c r="C206" s="153" t="str">
        <f t="array" ref="C206">IFERROR(IF(INDEX(Strategi!$F$5:$F$134,MATCH(LARGE(Strategi!$K$5:$K$134,101),Strategi!$K$5:$K$134,0))="","","("&amp;COUNTIFS('Pelan Pengambilan'!$B$6:$B$106,'Pelan Pengambilan'!$B106,'Pelan Pengambilan'!$C$6:$C$106,'Pelan Pengambilan'!$C106)&amp;") "&amp;INDEX(Strategi!$F$5:$F$134,MATCH(LARGE(Strategi!$K$5:$K$134,101),Strategi!$K$5:$K$134,0))),"")</f>
        <v/>
      </c>
      <c r="D206" s="155" t="s">
        <v>275</v>
      </c>
      <c r="E206" s="156" t="str">
        <f>IFERROR(IF(COUNT('Pelan Pengambilan'!H106,'Pelan Pengambilan'!J106,'Pelan Pengambilan'!L106,'Pelan Pengambilan'!N106,'Pelan Pengambilan'!P106,'Pelan Pengambilan'!R106,'Pelan Pengambilan'!T106,'Pelan Pengambilan'!V106,'Pelan Pengambilan'!X106,'Pelan Pengambilan'!Z106,'Pelan Pengambilan'!AB106,'Pelan Pengambilan'!AD106)=0,"",COUNT('Pelan Pengambilan'!I106,'Pelan Pengambilan'!K106,'Pelan Pengambilan'!M106,'Pelan Pengambilan'!O106,'Pelan Pengambilan'!Q106,'Pelan Pengambilan'!S106,'Pelan Pengambilan'!U106,'Pelan Pengambilan'!W106,'Pelan Pengambilan'!Y106,'Pelan Pengambilan'!AA106,'Pelan Pengambilan'!AC106,'Pelan Pengambilan'!AE106)/COUNT('Pelan Pengambilan'!H106,'Pelan Pengambilan'!J106,'Pelan Pengambilan'!L106,'Pelan Pengambilan'!N106,'Pelan Pengambilan'!P106,'Pelan Pengambilan'!R106,'Pelan Pengambilan'!T106,'Pelan Pengambilan'!V106,'Pelan Pengambilan'!X106,'Pelan Pengambilan'!Z106,'Pelan Pengambilan'!AB106,'Pelan Pengambilan'!AD106)),"")</f>
        <v/>
      </c>
      <c r="F206" s="157" t="str">
        <f>IFERROR(IF('Pelan Pengambilan'!G106="","",'Pelan Pengambilan'!G106),"")</f>
        <v/>
      </c>
      <c r="G206" s="158"/>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c r="CD206" s="158"/>
      <c r="CE206" s="158"/>
      <c r="CF206" s="158"/>
      <c r="CG206" s="158"/>
      <c r="CH206" s="158"/>
      <c r="CI206" s="158"/>
      <c r="CJ206" s="158"/>
      <c r="CK206" s="158"/>
      <c r="CL206" s="158"/>
      <c r="CM206" s="158"/>
      <c r="CN206" s="158"/>
      <c r="CO206" s="158"/>
      <c r="CP206" s="158"/>
      <c r="CQ206" s="158"/>
      <c r="CR206" s="158"/>
      <c r="CS206" s="158"/>
      <c r="CT206" s="158"/>
      <c r="CU206" s="158"/>
      <c r="CV206" s="158"/>
      <c r="CW206" s="158"/>
      <c r="CX206" s="158"/>
      <c r="CY206" s="158"/>
      <c r="CZ206" s="158"/>
      <c r="DA206" s="158"/>
      <c r="DB206" s="158"/>
      <c r="DC206" s="158"/>
      <c r="DD206" s="158"/>
      <c r="DE206" s="158"/>
      <c r="DF206" s="158"/>
      <c r="DG206" s="158"/>
      <c r="DH206" s="154" t="str">
        <f>'Pelan Pengambilan'!AF106</f>
        <v/>
      </c>
      <c r="DI206" s="154"/>
      <c r="DJ206" s="3">
        <f>IFERROR(MIN('Pelan Pengambilan'!H106,'Pelan Pengambilan'!J106,'Pelan Pengambilan'!L106,'Pelan Pengambilan'!N106,'Pelan Pengambilan'!P106,'Pelan Pengambilan'!R106,'Pelan Pengambilan'!T106,'Pelan Pengambilan'!V106,'Pelan Pengambilan'!X106,'Pelan Pengambilan'!Z106,'Pelan Pengambilan'!AB106,'Pelan Pengambilan'!AD106),"")</f>
        <v>0</v>
      </c>
      <c r="DK206" s="3">
        <f>IFERROR(MAX('Pelan Pengambilan'!H106,'Pelan Pengambilan'!J106,'Pelan Pengambilan'!L106,'Pelan Pengambilan'!N106,'Pelan Pengambilan'!P106,'Pelan Pengambilan'!R106,'Pelan Pengambilan'!T106,'Pelan Pengambilan'!V106,'Pelan Pengambilan'!X106,'Pelan Pengambilan'!Z106,'Pelan Pengambilan'!AB106,'Pelan Pengambilan'!AD106),"")</f>
        <v>0</v>
      </c>
      <c r="DL206" s="3">
        <f>IFERROR(MIN('Pelan Pengambilan'!I106,'Pelan Pengambilan'!K106,'Pelan Pengambilan'!M106,'Pelan Pengambilan'!O106,'Pelan Pengambilan'!Q106,'Pelan Pengambilan'!S106,'Pelan Pengambilan'!U106,'Pelan Pengambilan'!W106,'Pelan Pengambilan'!Y106,'Pelan Pengambilan'!AA106,'Pelan Pengambilan'!AC106,'Pelan Pengambilan'!AE106),"")</f>
        <v>0</v>
      </c>
      <c r="DM206" s="3">
        <f>IFERROR(MAX('Pelan Pengambilan'!I106,'Pelan Pengambilan'!K106,'Pelan Pengambilan'!M106,'Pelan Pengambilan'!O106,'Pelan Pengambilan'!Q106,'Pelan Pengambilan'!S106,'Pelan Pengambilan'!U106,'Pelan Pengambilan'!W106,'Pelan Pengambilan'!Y106,'Pelan Pengambilan'!AA106,'Pelan Pengambilan'!AC106,'Pelan Pengambilan'!AE106),"")</f>
        <v>0</v>
      </c>
    </row>
    <row r="207" ht="19.5" customHeight="1">
      <c r="A207" s="41"/>
      <c r="B207" s="41"/>
      <c r="C207" s="41"/>
      <c r="D207" s="155" t="s">
        <v>276</v>
      </c>
      <c r="E207" s="41"/>
      <c r="F207" s="41"/>
      <c r="G207" s="158"/>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c r="CD207" s="158"/>
      <c r="CE207" s="158"/>
      <c r="CF207" s="158"/>
      <c r="CG207" s="158"/>
      <c r="CH207" s="158"/>
      <c r="CI207" s="158"/>
      <c r="CJ207" s="158"/>
      <c r="CK207" s="158"/>
      <c r="CL207" s="158"/>
      <c r="CM207" s="158"/>
      <c r="CN207" s="158"/>
      <c r="CO207" s="158"/>
      <c r="CP207" s="158"/>
      <c r="CQ207" s="158"/>
      <c r="CR207" s="158"/>
      <c r="CS207" s="158"/>
      <c r="CT207" s="158"/>
      <c r="CU207" s="158"/>
      <c r="CV207" s="158"/>
      <c r="CW207" s="158"/>
      <c r="CX207" s="158"/>
      <c r="CY207" s="158"/>
      <c r="CZ207" s="158"/>
      <c r="DA207" s="158"/>
      <c r="DB207" s="158"/>
      <c r="DC207" s="158"/>
      <c r="DD207" s="158"/>
      <c r="DE207" s="158"/>
      <c r="DF207" s="158"/>
      <c r="DG207" s="158"/>
      <c r="DH207" s="41"/>
      <c r="DI207" s="41"/>
      <c r="DJ207" s="3"/>
      <c r="DK207" s="3"/>
      <c r="DL207" s="3"/>
      <c r="DM207" s="3"/>
    </row>
    <row r="208" ht="19.5" customHeight="1">
      <c r="A208" s="153" t="str">
        <f>'Pelan Pengambilan'!B107</f>
        <v/>
      </c>
      <c r="B208" s="154" t="str">
        <f>'Pelan Pengambilan'!C107</f>
        <v/>
      </c>
      <c r="C208" s="153" t="str">
        <f t="array" ref="C208">IFERROR(IF(INDEX(Strategi!$F$5:$F$134,MATCH(LARGE(Strategi!$K$5:$K$134,102),Strategi!$K$5:$K$134,0))="","","("&amp;COUNTIFS('Pelan Pengambilan'!$B$6:$B$107,'Pelan Pengambilan'!$B107,'Pelan Pengambilan'!$C$6:$C$107,'Pelan Pengambilan'!$C107)&amp;") "&amp;INDEX(Strategi!$F$5:$F$134,MATCH(LARGE(Strategi!$K$5:$K$134,102),Strategi!$K$5:$K$134,0))),"")</f>
        <v/>
      </c>
      <c r="D208" s="155" t="s">
        <v>275</v>
      </c>
      <c r="E208" s="156" t="str">
        <f>IFERROR(IF(COUNT('Pelan Pengambilan'!H107,'Pelan Pengambilan'!J107,'Pelan Pengambilan'!L107,'Pelan Pengambilan'!N107,'Pelan Pengambilan'!P107,'Pelan Pengambilan'!R107,'Pelan Pengambilan'!T107,'Pelan Pengambilan'!V107,'Pelan Pengambilan'!X107,'Pelan Pengambilan'!Z107,'Pelan Pengambilan'!AB107,'Pelan Pengambilan'!AD107)=0,"",COUNT('Pelan Pengambilan'!I107,'Pelan Pengambilan'!K107,'Pelan Pengambilan'!M107,'Pelan Pengambilan'!O107,'Pelan Pengambilan'!Q107,'Pelan Pengambilan'!S107,'Pelan Pengambilan'!U107,'Pelan Pengambilan'!W107,'Pelan Pengambilan'!Y107,'Pelan Pengambilan'!AA107,'Pelan Pengambilan'!AC107,'Pelan Pengambilan'!AE107)/COUNT('Pelan Pengambilan'!H107,'Pelan Pengambilan'!J107,'Pelan Pengambilan'!L107,'Pelan Pengambilan'!N107,'Pelan Pengambilan'!P107,'Pelan Pengambilan'!R107,'Pelan Pengambilan'!T107,'Pelan Pengambilan'!V107,'Pelan Pengambilan'!X107,'Pelan Pengambilan'!Z107,'Pelan Pengambilan'!AB107,'Pelan Pengambilan'!AD107)),"")</f>
        <v/>
      </c>
      <c r="F208" s="157" t="str">
        <f>IFERROR(IF('Pelan Pengambilan'!G107="","",'Pelan Pengambilan'!G107),"")</f>
        <v/>
      </c>
      <c r="G208" s="158"/>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8"/>
      <c r="AY208" s="158"/>
      <c r="AZ208" s="158"/>
      <c r="BA208" s="158"/>
      <c r="BB208" s="158"/>
      <c r="BC208" s="158"/>
      <c r="BD208" s="158"/>
      <c r="BE208" s="158"/>
      <c r="BF208" s="158"/>
      <c r="BG208" s="158"/>
      <c r="BH208" s="158"/>
      <c r="BI208" s="158"/>
      <c r="BJ208" s="158"/>
      <c r="BK208" s="158"/>
      <c r="BL208" s="158"/>
      <c r="BM208" s="158"/>
      <c r="BN208" s="158"/>
      <c r="BO208" s="158"/>
      <c r="BP208" s="158"/>
      <c r="BQ208" s="158"/>
      <c r="BR208" s="158"/>
      <c r="BS208" s="158"/>
      <c r="BT208" s="158"/>
      <c r="BU208" s="158"/>
      <c r="BV208" s="158"/>
      <c r="BW208" s="158"/>
      <c r="BX208" s="158"/>
      <c r="BY208" s="158"/>
      <c r="BZ208" s="158"/>
      <c r="CA208" s="158"/>
      <c r="CB208" s="158"/>
      <c r="CC208" s="158"/>
      <c r="CD208" s="158"/>
      <c r="CE208" s="158"/>
      <c r="CF208" s="158"/>
      <c r="CG208" s="158"/>
      <c r="CH208" s="158"/>
      <c r="CI208" s="158"/>
      <c r="CJ208" s="158"/>
      <c r="CK208" s="158"/>
      <c r="CL208" s="158"/>
      <c r="CM208" s="158"/>
      <c r="CN208" s="158"/>
      <c r="CO208" s="158"/>
      <c r="CP208" s="158"/>
      <c r="CQ208" s="158"/>
      <c r="CR208" s="158"/>
      <c r="CS208" s="158"/>
      <c r="CT208" s="158"/>
      <c r="CU208" s="158"/>
      <c r="CV208" s="158"/>
      <c r="CW208" s="158"/>
      <c r="CX208" s="158"/>
      <c r="CY208" s="158"/>
      <c r="CZ208" s="158"/>
      <c r="DA208" s="158"/>
      <c r="DB208" s="158"/>
      <c r="DC208" s="158"/>
      <c r="DD208" s="158"/>
      <c r="DE208" s="158"/>
      <c r="DF208" s="158"/>
      <c r="DG208" s="158"/>
      <c r="DH208" s="154" t="str">
        <f>'Pelan Pengambilan'!AF107</f>
        <v/>
      </c>
      <c r="DI208" s="154"/>
      <c r="DJ208" s="3">
        <f>IFERROR(MIN('Pelan Pengambilan'!H107,'Pelan Pengambilan'!J107,'Pelan Pengambilan'!L107,'Pelan Pengambilan'!N107,'Pelan Pengambilan'!P107,'Pelan Pengambilan'!R107,'Pelan Pengambilan'!T107,'Pelan Pengambilan'!V107,'Pelan Pengambilan'!X107,'Pelan Pengambilan'!Z107,'Pelan Pengambilan'!AB107,'Pelan Pengambilan'!AD107),"")</f>
        <v>0</v>
      </c>
      <c r="DK208" s="3">
        <f>IFERROR(MAX('Pelan Pengambilan'!H107,'Pelan Pengambilan'!J107,'Pelan Pengambilan'!L107,'Pelan Pengambilan'!N107,'Pelan Pengambilan'!P107,'Pelan Pengambilan'!R107,'Pelan Pengambilan'!T107,'Pelan Pengambilan'!V107,'Pelan Pengambilan'!X107,'Pelan Pengambilan'!Z107,'Pelan Pengambilan'!AB107,'Pelan Pengambilan'!AD107),"")</f>
        <v>0</v>
      </c>
      <c r="DL208" s="3">
        <f>IFERROR(MIN('Pelan Pengambilan'!I107,'Pelan Pengambilan'!K107,'Pelan Pengambilan'!M107,'Pelan Pengambilan'!O107,'Pelan Pengambilan'!Q107,'Pelan Pengambilan'!S107,'Pelan Pengambilan'!U107,'Pelan Pengambilan'!W107,'Pelan Pengambilan'!Y107,'Pelan Pengambilan'!AA107,'Pelan Pengambilan'!AC107,'Pelan Pengambilan'!AE107),"")</f>
        <v>0</v>
      </c>
      <c r="DM208" s="3">
        <f>IFERROR(MAX('Pelan Pengambilan'!I107,'Pelan Pengambilan'!K107,'Pelan Pengambilan'!M107,'Pelan Pengambilan'!O107,'Pelan Pengambilan'!Q107,'Pelan Pengambilan'!S107,'Pelan Pengambilan'!U107,'Pelan Pengambilan'!W107,'Pelan Pengambilan'!Y107,'Pelan Pengambilan'!AA107,'Pelan Pengambilan'!AC107,'Pelan Pengambilan'!AE107),"")</f>
        <v>0</v>
      </c>
    </row>
    <row r="209" ht="19.5" customHeight="1">
      <c r="A209" s="41"/>
      <c r="B209" s="41"/>
      <c r="C209" s="41"/>
      <c r="D209" s="155" t="s">
        <v>276</v>
      </c>
      <c r="E209" s="41"/>
      <c r="F209" s="41"/>
      <c r="G209" s="158"/>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8"/>
      <c r="AY209" s="158"/>
      <c r="AZ209" s="158"/>
      <c r="BA209" s="158"/>
      <c r="BB209" s="158"/>
      <c r="BC209" s="158"/>
      <c r="BD209" s="158"/>
      <c r="BE209" s="158"/>
      <c r="BF209" s="158"/>
      <c r="BG209" s="158"/>
      <c r="BH209" s="158"/>
      <c r="BI209" s="158"/>
      <c r="BJ209" s="158"/>
      <c r="BK209" s="158"/>
      <c r="BL209" s="158"/>
      <c r="BM209" s="158"/>
      <c r="BN209" s="158"/>
      <c r="BO209" s="158"/>
      <c r="BP209" s="158"/>
      <c r="BQ209" s="158"/>
      <c r="BR209" s="158"/>
      <c r="BS209" s="158"/>
      <c r="BT209" s="158"/>
      <c r="BU209" s="158"/>
      <c r="BV209" s="158"/>
      <c r="BW209" s="158"/>
      <c r="BX209" s="158"/>
      <c r="BY209" s="158"/>
      <c r="BZ209" s="158"/>
      <c r="CA209" s="158"/>
      <c r="CB209" s="158"/>
      <c r="CC209" s="158"/>
      <c r="CD209" s="158"/>
      <c r="CE209" s="158"/>
      <c r="CF209" s="158"/>
      <c r="CG209" s="158"/>
      <c r="CH209" s="158"/>
      <c r="CI209" s="158"/>
      <c r="CJ209" s="158"/>
      <c r="CK209" s="158"/>
      <c r="CL209" s="158"/>
      <c r="CM209" s="158"/>
      <c r="CN209" s="158"/>
      <c r="CO209" s="158"/>
      <c r="CP209" s="158"/>
      <c r="CQ209" s="158"/>
      <c r="CR209" s="158"/>
      <c r="CS209" s="158"/>
      <c r="CT209" s="158"/>
      <c r="CU209" s="158"/>
      <c r="CV209" s="158"/>
      <c r="CW209" s="158"/>
      <c r="CX209" s="158"/>
      <c r="CY209" s="158"/>
      <c r="CZ209" s="158"/>
      <c r="DA209" s="158"/>
      <c r="DB209" s="158"/>
      <c r="DC209" s="158"/>
      <c r="DD209" s="158"/>
      <c r="DE209" s="158"/>
      <c r="DF209" s="158"/>
      <c r="DG209" s="158"/>
      <c r="DH209" s="41"/>
      <c r="DI209" s="41"/>
      <c r="DJ209" s="3"/>
      <c r="DK209" s="3"/>
      <c r="DL209" s="3"/>
      <c r="DM209" s="3"/>
    </row>
    <row r="210" ht="19.5" customHeight="1">
      <c r="A210" s="153" t="str">
        <f>'Pelan Pengambilan'!B108</f>
        <v/>
      </c>
      <c r="B210" s="154" t="str">
        <f>'Pelan Pengambilan'!C108</f>
        <v/>
      </c>
      <c r="C210" s="153" t="str">
        <f t="array" ref="C210">IFERROR(IF(INDEX(Strategi!$F$5:$F$134,MATCH(LARGE(Strategi!$K$5:$K$134,103),Strategi!$K$5:$K$134,0))="","","("&amp;COUNTIFS('Pelan Pengambilan'!$B$6:$B$108,'Pelan Pengambilan'!$B108,'Pelan Pengambilan'!$C$6:$C$108,'Pelan Pengambilan'!$C108)&amp;") "&amp;INDEX(Strategi!$F$5:$F$134,MATCH(LARGE(Strategi!$K$5:$K$134,103),Strategi!$K$5:$K$134,0))),"")</f>
        <v/>
      </c>
      <c r="D210" s="155" t="s">
        <v>275</v>
      </c>
      <c r="E210" s="156" t="str">
        <f>IFERROR(IF(COUNT('Pelan Pengambilan'!H108,'Pelan Pengambilan'!J108,'Pelan Pengambilan'!L108,'Pelan Pengambilan'!N108,'Pelan Pengambilan'!P108,'Pelan Pengambilan'!R108,'Pelan Pengambilan'!T108,'Pelan Pengambilan'!V108,'Pelan Pengambilan'!X108,'Pelan Pengambilan'!Z108,'Pelan Pengambilan'!AB108,'Pelan Pengambilan'!AD108)=0,"",COUNT('Pelan Pengambilan'!I108,'Pelan Pengambilan'!K108,'Pelan Pengambilan'!M108,'Pelan Pengambilan'!O108,'Pelan Pengambilan'!Q108,'Pelan Pengambilan'!S108,'Pelan Pengambilan'!U108,'Pelan Pengambilan'!W108,'Pelan Pengambilan'!Y108,'Pelan Pengambilan'!AA108,'Pelan Pengambilan'!AC108,'Pelan Pengambilan'!AE108)/COUNT('Pelan Pengambilan'!H108,'Pelan Pengambilan'!J108,'Pelan Pengambilan'!L108,'Pelan Pengambilan'!N108,'Pelan Pengambilan'!P108,'Pelan Pengambilan'!R108,'Pelan Pengambilan'!T108,'Pelan Pengambilan'!V108,'Pelan Pengambilan'!X108,'Pelan Pengambilan'!Z108,'Pelan Pengambilan'!AB108,'Pelan Pengambilan'!AD108)),"")</f>
        <v/>
      </c>
      <c r="F210" s="157" t="str">
        <f>IFERROR(IF('Pelan Pengambilan'!G108="","",'Pelan Pengambilan'!G108),"")</f>
        <v/>
      </c>
      <c r="G210" s="158"/>
      <c r="H210" s="158"/>
      <c r="I210" s="158"/>
      <c r="J210" s="158"/>
      <c r="K210" s="158"/>
      <c r="L210" s="158"/>
      <c r="M210" s="158"/>
      <c r="N210" s="158"/>
      <c r="O210" s="158"/>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158"/>
      <c r="AZ210" s="158"/>
      <c r="BA210" s="158"/>
      <c r="BB210" s="158"/>
      <c r="BC210" s="158"/>
      <c r="BD210" s="158"/>
      <c r="BE210" s="158"/>
      <c r="BF210" s="158"/>
      <c r="BG210" s="158"/>
      <c r="BH210" s="158"/>
      <c r="BI210" s="158"/>
      <c r="BJ210" s="158"/>
      <c r="BK210" s="158"/>
      <c r="BL210" s="158"/>
      <c r="BM210" s="158"/>
      <c r="BN210" s="158"/>
      <c r="BO210" s="158"/>
      <c r="BP210" s="158"/>
      <c r="BQ210" s="158"/>
      <c r="BR210" s="158"/>
      <c r="BS210" s="158"/>
      <c r="BT210" s="158"/>
      <c r="BU210" s="158"/>
      <c r="BV210" s="158"/>
      <c r="BW210" s="158"/>
      <c r="BX210" s="158"/>
      <c r="BY210" s="158"/>
      <c r="BZ210" s="158"/>
      <c r="CA210" s="158"/>
      <c r="CB210" s="158"/>
      <c r="CC210" s="158"/>
      <c r="CD210" s="158"/>
      <c r="CE210" s="158"/>
      <c r="CF210" s="158"/>
      <c r="CG210" s="158"/>
      <c r="CH210" s="158"/>
      <c r="CI210" s="158"/>
      <c r="CJ210" s="158"/>
      <c r="CK210" s="158"/>
      <c r="CL210" s="158"/>
      <c r="CM210" s="158"/>
      <c r="CN210" s="158"/>
      <c r="CO210" s="158"/>
      <c r="CP210" s="158"/>
      <c r="CQ210" s="158"/>
      <c r="CR210" s="158"/>
      <c r="CS210" s="158"/>
      <c r="CT210" s="158"/>
      <c r="CU210" s="158"/>
      <c r="CV210" s="158"/>
      <c r="CW210" s="158"/>
      <c r="CX210" s="158"/>
      <c r="CY210" s="158"/>
      <c r="CZ210" s="158"/>
      <c r="DA210" s="158"/>
      <c r="DB210" s="158"/>
      <c r="DC210" s="158"/>
      <c r="DD210" s="158"/>
      <c r="DE210" s="158"/>
      <c r="DF210" s="158"/>
      <c r="DG210" s="158"/>
      <c r="DH210" s="154" t="str">
        <f>'Pelan Pengambilan'!AF108</f>
        <v/>
      </c>
      <c r="DI210" s="154"/>
      <c r="DJ210" s="3">
        <f>IFERROR(MIN('Pelan Pengambilan'!H108,'Pelan Pengambilan'!J108,'Pelan Pengambilan'!L108,'Pelan Pengambilan'!N108,'Pelan Pengambilan'!P108,'Pelan Pengambilan'!R108,'Pelan Pengambilan'!T108,'Pelan Pengambilan'!V108,'Pelan Pengambilan'!X108,'Pelan Pengambilan'!Z108,'Pelan Pengambilan'!AB108,'Pelan Pengambilan'!AD108),"")</f>
        <v>0</v>
      </c>
      <c r="DK210" s="3">
        <f>IFERROR(MAX('Pelan Pengambilan'!H108,'Pelan Pengambilan'!J108,'Pelan Pengambilan'!L108,'Pelan Pengambilan'!N108,'Pelan Pengambilan'!P108,'Pelan Pengambilan'!R108,'Pelan Pengambilan'!T108,'Pelan Pengambilan'!V108,'Pelan Pengambilan'!X108,'Pelan Pengambilan'!Z108,'Pelan Pengambilan'!AB108,'Pelan Pengambilan'!AD108),"")</f>
        <v>0</v>
      </c>
      <c r="DL210" s="3">
        <f>IFERROR(MIN('Pelan Pengambilan'!I108,'Pelan Pengambilan'!K108,'Pelan Pengambilan'!M108,'Pelan Pengambilan'!O108,'Pelan Pengambilan'!Q108,'Pelan Pengambilan'!S108,'Pelan Pengambilan'!U108,'Pelan Pengambilan'!W108,'Pelan Pengambilan'!Y108,'Pelan Pengambilan'!AA108,'Pelan Pengambilan'!AC108,'Pelan Pengambilan'!AE108),"")</f>
        <v>0</v>
      </c>
      <c r="DM210" s="3">
        <f>IFERROR(MAX('Pelan Pengambilan'!I108,'Pelan Pengambilan'!K108,'Pelan Pengambilan'!M108,'Pelan Pengambilan'!O108,'Pelan Pengambilan'!Q108,'Pelan Pengambilan'!S108,'Pelan Pengambilan'!U108,'Pelan Pengambilan'!W108,'Pelan Pengambilan'!Y108,'Pelan Pengambilan'!AA108,'Pelan Pengambilan'!AC108,'Pelan Pengambilan'!AE108),"")</f>
        <v>0</v>
      </c>
    </row>
    <row r="211" ht="19.5" customHeight="1">
      <c r="A211" s="41"/>
      <c r="B211" s="41"/>
      <c r="C211" s="41"/>
      <c r="D211" s="155" t="s">
        <v>276</v>
      </c>
      <c r="E211" s="41"/>
      <c r="F211" s="41"/>
      <c r="G211" s="158"/>
      <c r="H211" s="158"/>
      <c r="I211" s="158"/>
      <c r="J211" s="158"/>
      <c r="K211" s="158"/>
      <c r="L211" s="158"/>
      <c r="M211" s="158"/>
      <c r="N211" s="158"/>
      <c r="O211" s="158"/>
      <c r="P211" s="158"/>
      <c r="Q211" s="158"/>
      <c r="R211" s="158"/>
      <c r="S211" s="158"/>
      <c r="T211" s="158"/>
      <c r="U211" s="158"/>
      <c r="V211" s="158"/>
      <c r="W211" s="158"/>
      <c r="X211" s="158"/>
      <c r="Y211" s="158"/>
      <c r="Z211" s="158"/>
      <c r="AA211" s="158"/>
      <c r="AB211" s="158"/>
      <c r="AC211" s="158"/>
      <c r="AD211" s="158"/>
      <c r="AE211" s="158"/>
      <c r="AF211" s="158"/>
      <c r="AG211" s="158"/>
      <c r="AH211" s="158"/>
      <c r="AI211" s="158"/>
      <c r="AJ211" s="158"/>
      <c r="AK211" s="158"/>
      <c r="AL211" s="158"/>
      <c r="AM211" s="158"/>
      <c r="AN211" s="158"/>
      <c r="AO211" s="158"/>
      <c r="AP211" s="158"/>
      <c r="AQ211" s="158"/>
      <c r="AR211" s="158"/>
      <c r="AS211" s="158"/>
      <c r="AT211" s="158"/>
      <c r="AU211" s="158"/>
      <c r="AV211" s="158"/>
      <c r="AW211" s="158"/>
      <c r="AX211" s="158"/>
      <c r="AY211" s="158"/>
      <c r="AZ211" s="158"/>
      <c r="BA211" s="158"/>
      <c r="BB211" s="158"/>
      <c r="BC211" s="158"/>
      <c r="BD211" s="158"/>
      <c r="BE211" s="158"/>
      <c r="BF211" s="158"/>
      <c r="BG211" s="158"/>
      <c r="BH211" s="158"/>
      <c r="BI211" s="158"/>
      <c r="BJ211" s="158"/>
      <c r="BK211" s="158"/>
      <c r="BL211" s="158"/>
      <c r="BM211" s="158"/>
      <c r="BN211" s="158"/>
      <c r="BO211" s="158"/>
      <c r="BP211" s="158"/>
      <c r="BQ211" s="158"/>
      <c r="BR211" s="158"/>
      <c r="BS211" s="158"/>
      <c r="BT211" s="158"/>
      <c r="BU211" s="158"/>
      <c r="BV211" s="158"/>
      <c r="BW211" s="158"/>
      <c r="BX211" s="158"/>
      <c r="BY211" s="158"/>
      <c r="BZ211" s="158"/>
      <c r="CA211" s="158"/>
      <c r="CB211" s="158"/>
      <c r="CC211" s="158"/>
      <c r="CD211" s="158"/>
      <c r="CE211" s="158"/>
      <c r="CF211" s="158"/>
      <c r="CG211" s="158"/>
      <c r="CH211" s="158"/>
      <c r="CI211" s="158"/>
      <c r="CJ211" s="158"/>
      <c r="CK211" s="158"/>
      <c r="CL211" s="158"/>
      <c r="CM211" s="158"/>
      <c r="CN211" s="158"/>
      <c r="CO211" s="158"/>
      <c r="CP211" s="158"/>
      <c r="CQ211" s="158"/>
      <c r="CR211" s="158"/>
      <c r="CS211" s="158"/>
      <c r="CT211" s="158"/>
      <c r="CU211" s="158"/>
      <c r="CV211" s="158"/>
      <c r="CW211" s="158"/>
      <c r="CX211" s="158"/>
      <c r="CY211" s="158"/>
      <c r="CZ211" s="158"/>
      <c r="DA211" s="158"/>
      <c r="DB211" s="158"/>
      <c r="DC211" s="158"/>
      <c r="DD211" s="158"/>
      <c r="DE211" s="158"/>
      <c r="DF211" s="158"/>
      <c r="DG211" s="158"/>
      <c r="DH211" s="41"/>
      <c r="DI211" s="41"/>
      <c r="DJ211" s="3"/>
      <c r="DK211" s="3"/>
      <c r="DL211" s="3"/>
      <c r="DM211" s="3"/>
    </row>
    <row r="212" ht="19.5" customHeight="1">
      <c r="A212" s="153" t="str">
        <f>'Pelan Pengambilan'!B109</f>
        <v/>
      </c>
      <c r="B212" s="154" t="str">
        <f>'Pelan Pengambilan'!C109</f>
        <v/>
      </c>
      <c r="C212" s="153" t="str">
        <f t="array" ref="C212">IFERROR(IF(INDEX(Strategi!$F$5:$F$134,MATCH(LARGE(Strategi!$K$5:$K$134,104),Strategi!$K$5:$K$134,0))="","","("&amp;COUNTIFS('Pelan Pengambilan'!$B$6:$B$109,'Pelan Pengambilan'!$B109,'Pelan Pengambilan'!$C$6:$C$109,'Pelan Pengambilan'!$C109)&amp;") "&amp;INDEX(Strategi!$F$5:$F$134,MATCH(LARGE(Strategi!$K$5:$K$134,104),Strategi!$K$5:$K$134,0))),"")</f>
        <v/>
      </c>
      <c r="D212" s="155" t="s">
        <v>275</v>
      </c>
      <c r="E212" s="156" t="str">
        <f>IFERROR(IF(COUNT('Pelan Pengambilan'!H109,'Pelan Pengambilan'!J109,'Pelan Pengambilan'!L109,'Pelan Pengambilan'!N109,'Pelan Pengambilan'!P109,'Pelan Pengambilan'!R109,'Pelan Pengambilan'!T109,'Pelan Pengambilan'!V109,'Pelan Pengambilan'!X109,'Pelan Pengambilan'!Z109,'Pelan Pengambilan'!AB109,'Pelan Pengambilan'!AD109)=0,"",COUNT('Pelan Pengambilan'!I109,'Pelan Pengambilan'!K109,'Pelan Pengambilan'!M109,'Pelan Pengambilan'!O109,'Pelan Pengambilan'!Q109,'Pelan Pengambilan'!S109,'Pelan Pengambilan'!U109,'Pelan Pengambilan'!W109,'Pelan Pengambilan'!Y109,'Pelan Pengambilan'!AA109,'Pelan Pengambilan'!AC109,'Pelan Pengambilan'!AE109)/COUNT('Pelan Pengambilan'!H109,'Pelan Pengambilan'!J109,'Pelan Pengambilan'!L109,'Pelan Pengambilan'!N109,'Pelan Pengambilan'!P109,'Pelan Pengambilan'!R109,'Pelan Pengambilan'!T109,'Pelan Pengambilan'!V109,'Pelan Pengambilan'!X109,'Pelan Pengambilan'!Z109,'Pelan Pengambilan'!AB109,'Pelan Pengambilan'!AD109)),"")</f>
        <v/>
      </c>
      <c r="F212" s="157" t="str">
        <f>IFERROR(IF('Pelan Pengambilan'!G109="","",'Pelan Pengambilan'!G109),"")</f>
        <v/>
      </c>
      <c r="G212" s="158"/>
      <c r="H212" s="158"/>
      <c r="I212" s="158"/>
      <c r="J212" s="158"/>
      <c r="K212" s="158"/>
      <c r="L212" s="158"/>
      <c r="M212" s="158"/>
      <c r="N212" s="158"/>
      <c r="O212" s="158"/>
      <c r="P212" s="158"/>
      <c r="Q212" s="158"/>
      <c r="R212" s="158"/>
      <c r="S212" s="158"/>
      <c r="T212" s="158"/>
      <c r="U212" s="158"/>
      <c r="V212" s="158"/>
      <c r="W212" s="158"/>
      <c r="X212" s="158"/>
      <c r="Y212" s="158"/>
      <c r="Z212" s="158"/>
      <c r="AA212" s="158"/>
      <c r="AB212" s="158"/>
      <c r="AC212" s="158"/>
      <c r="AD212" s="158"/>
      <c r="AE212" s="158"/>
      <c r="AF212" s="158"/>
      <c r="AG212" s="158"/>
      <c r="AH212" s="158"/>
      <c r="AI212" s="158"/>
      <c r="AJ212" s="158"/>
      <c r="AK212" s="158"/>
      <c r="AL212" s="158"/>
      <c r="AM212" s="158"/>
      <c r="AN212" s="158"/>
      <c r="AO212" s="158"/>
      <c r="AP212" s="158"/>
      <c r="AQ212" s="158"/>
      <c r="AR212" s="158"/>
      <c r="AS212" s="158"/>
      <c r="AT212" s="158"/>
      <c r="AU212" s="158"/>
      <c r="AV212" s="158"/>
      <c r="AW212" s="158"/>
      <c r="AX212" s="158"/>
      <c r="AY212" s="158"/>
      <c r="AZ212" s="158"/>
      <c r="BA212" s="158"/>
      <c r="BB212" s="158"/>
      <c r="BC212" s="158"/>
      <c r="BD212" s="158"/>
      <c r="BE212" s="158"/>
      <c r="BF212" s="158"/>
      <c r="BG212" s="158"/>
      <c r="BH212" s="158"/>
      <c r="BI212" s="158"/>
      <c r="BJ212" s="158"/>
      <c r="BK212" s="158"/>
      <c r="BL212" s="158"/>
      <c r="BM212" s="158"/>
      <c r="BN212" s="158"/>
      <c r="BO212" s="158"/>
      <c r="BP212" s="158"/>
      <c r="BQ212" s="158"/>
      <c r="BR212" s="158"/>
      <c r="BS212" s="158"/>
      <c r="BT212" s="158"/>
      <c r="BU212" s="158"/>
      <c r="BV212" s="158"/>
      <c r="BW212" s="158"/>
      <c r="BX212" s="158"/>
      <c r="BY212" s="158"/>
      <c r="BZ212" s="158"/>
      <c r="CA212" s="158"/>
      <c r="CB212" s="158"/>
      <c r="CC212" s="158"/>
      <c r="CD212" s="158"/>
      <c r="CE212" s="158"/>
      <c r="CF212" s="158"/>
      <c r="CG212" s="158"/>
      <c r="CH212" s="158"/>
      <c r="CI212" s="158"/>
      <c r="CJ212" s="158"/>
      <c r="CK212" s="158"/>
      <c r="CL212" s="158"/>
      <c r="CM212" s="158"/>
      <c r="CN212" s="158"/>
      <c r="CO212" s="158"/>
      <c r="CP212" s="158"/>
      <c r="CQ212" s="158"/>
      <c r="CR212" s="158"/>
      <c r="CS212" s="158"/>
      <c r="CT212" s="158"/>
      <c r="CU212" s="158"/>
      <c r="CV212" s="158"/>
      <c r="CW212" s="158"/>
      <c r="CX212" s="158"/>
      <c r="CY212" s="158"/>
      <c r="CZ212" s="158"/>
      <c r="DA212" s="158"/>
      <c r="DB212" s="158"/>
      <c r="DC212" s="158"/>
      <c r="DD212" s="158"/>
      <c r="DE212" s="158"/>
      <c r="DF212" s="158"/>
      <c r="DG212" s="158"/>
      <c r="DH212" s="154" t="str">
        <f>'Pelan Pengambilan'!AF109</f>
        <v/>
      </c>
      <c r="DI212" s="154"/>
      <c r="DJ212" s="3">
        <f>IFERROR(MIN('Pelan Pengambilan'!H109,'Pelan Pengambilan'!J109,'Pelan Pengambilan'!L109,'Pelan Pengambilan'!N109,'Pelan Pengambilan'!P109,'Pelan Pengambilan'!R109,'Pelan Pengambilan'!T109,'Pelan Pengambilan'!V109,'Pelan Pengambilan'!X109,'Pelan Pengambilan'!Z109,'Pelan Pengambilan'!AB109,'Pelan Pengambilan'!AD109),"")</f>
        <v>0</v>
      </c>
      <c r="DK212" s="3">
        <f>IFERROR(MAX('Pelan Pengambilan'!H109,'Pelan Pengambilan'!J109,'Pelan Pengambilan'!L109,'Pelan Pengambilan'!N109,'Pelan Pengambilan'!P109,'Pelan Pengambilan'!R109,'Pelan Pengambilan'!T109,'Pelan Pengambilan'!V109,'Pelan Pengambilan'!X109,'Pelan Pengambilan'!Z109,'Pelan Pengambilan'!AB109,'Pelan Pengambilan'!AD109),"")</f>
        <v>0</v>
      </c>
      <c r="DL212" s="3">
        <f>IFERROR(MIN('Pelan Pengambilan'!I109,'Pelan Pengambilan'!K109,'Pelan Pengambilan'!M109,'Pelan Pengambilan'!O109,'Pelan Pengambilan'!Q109,'Pelan Pengambilan'!S109,'Pelan Pengambilan'!U109,'Pelan Pengambilan'!W109,'Pelan Pengambilan'!Y109,'Pelan Pengambilan'!AA109,'Pelan Pengambilan'!AC109,'Pelan Pengambilan'!AE109),"")</f>
        <v>0</v>
      </c>
      <c r="DM212" s="3">
        <f>IFERROR(MAX('Pelan Pengambilan'!I109,'Pelan Pengambilan'!K109,'Pelan Pengambilan'!M109,'Pelan Pengambilan'!O109,'Pelan Pengambilan'!Q109,'Pelan Pengambilan'!S109,'Pelan Pengambilan'!U109,'Pelan Pengambilan'!W109,'Pelan Pengambilan'!Y109,'Pelan Pengambilan'!AA109,'Pelan Pengambilan'!AC109,'Pelan Pengambilan'!AE109),"")</f>
        <v>0</v>
      </c>
    </row>
    <row r="213" ht="19.5" customHeight="1">
      <c r="A213" s="41"/>
      <c r="B213" s="41"/>
      <c r="C213" s="41"/>
      <c r="D213" s="155" t="s">
        <v>276</v>
      </c>
      <c r="E213" s="41"/>
      <c r="F213" s="41"/>
      <c r="G213" s="158"/>
      <c r="H213" s="158"/>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c r="CD213" s="158"/>
      <c r="CE213" s="158"/>
      <c r="CF213" s="158"/>
      <c r="CG213" s="158"/>
      <c r="CH213" s="158"/>
      <c r="CI213" s="158"/>
      <c r="CJ213" s="158"/>
      <c r="CK213" s="158"/>
      <c r="CL213" s="158"/>
      <c r="CM213" s="158"/>
      <c r="CN213" s="158"/>
      <c r="CO213" s="158"/>
      <c r="CP213" s="158"/>
      <c r="CQ213" s="158"/>
      <c r="CR213" s="158"/>
      <c r="CS213" s="158"/>
      <c r="CT213" s="158"/>
      <c r="CU213" s="158"/>
      <c r="CV213" s="158"/>
      <c r="CW213" s="158"/>
      <c r="CX213" s="158"/>
      <c r="CY213" s="158"/>
      <c r="CZ213" s="158"/>
      <c r="DA213" s="158"/>
      <c r="DB213" s="158"/>
      <c r="DC213" s="158"/>
      <c r="DD213" s="158"/>
      <c r="DE213" s="158"/>
      <c r="DF213" s="158"/>
      <c r="DG213" s="158"/>
      <c r="DH213" s="41"/>
      <c r="DI213" s="41"/>
      <c r="DJ213" s="3"/>
      <c r="DK213" s="3"/>
      <c r="DL213" s="3"/>
      <c r="DM213" s="3"/>
    </row>
    <row r="214" ht="19.5" customHeight="1">
      <c r="A214" s="153" t="str">
        <f>'Pelan Pengambilan'!B110</f>
        <v/>
      </c>
      <c r="B214" s="154" t="str">
        <f>'Pelan Pengambilan'!C110</f>
        <v/>
      </c>
      <c r="C214" s="153" t="str">
        <f t="array" ref="C214">IFERROR(IF(INDEX(Strategi!$F$5:$F$134,MATCH(LARGE(Strategi!$K$5:$K$134,105),Strategi!$K$5:$K$134,0))="","","("&amp;COUNTIFS('Pelan Pengambilan'!$B$6:$B$110,'Pelan Pengambilan'!$B110,'Pelan Pengambilan'!$C$6:$C$110,'Pelan Pengambilan'!$C110)&amp;") "&amp;INDEX(Strategi!$F$5:$F$134,MATCH(LARGE(Strategi!$K$5:$K$134,105),Strategi!$K$5:$K$134,0))),"")</f>
        <v/>
      </c>
      <c r="D214" s="155" t="s">
        <v>275</v>
      </c>
      <c r="E214" s="156" t="str">
        <f>IFERROR(IF(COUNT('Pelan Pengambilan'!H110,'Pelan Pengambilan'!J110,'Pelan Pengambilan'!L110,'Pelan Pengambilan'!N110,'Pelan Pengambilan'!P110,'Pelan Pengambilan'!R110,'Pelan Pengambilan'!T110,'Pelan Pengambilan'!V110,'Pelan Pengambilan'!X110,'Pelan Pengambilan'!Z110,'Pelan Pengambilan'!AB110,'Pelan Pengambilan'!AD110)=0,"",COUNT('Pelan Pengambilan'!I110,'Pelan Pengambilan'!K110,'Pelan Pengambilan'!M110,'Pelan Pengambilan'!O110,'Pelan Pengambilan'!Q110,'Pelan Pengambilan'!S110,'Pelan Pengambilan'!U110,'Pelan Pengambilan'!W110,'Pelan Pengambilan'!Y110,'Pelan Pengambilan'!AA110,'Pelan Pengambilan'!AC110,'Pelan Pengambilan'!AE110)/COUNT('Pelan Pengambilan'!H110,'Pelan Pengambilan'!J110,'Pelan Pengambilan'!L110,'Pelan Pengambilan'!N110,'Pelan Pengambilan'!P110,'Pelan Pengambilan'!R110,'Pelan Pengambilan'!T110,'Pelan Pengambilan'!V110,'Pelan Pengambilan'!X110,'Pelan Pengambilan'!Z110,'Pelan Pengambilan'!AB110,'Pelan Pengambilan'!AD110)),"")</f>
        <v/>
      </c>
      <c r="F214" s="157" t="str">
        <f>IFERROR(IF('Pelan Pengambilan'!G110="","",'Pelan Pengambilan'!G110),"")</f>
        <v/>
      </c>
      <c r="G214" s="158"/>
      <c r="H214" s="158"/>
      <c r="I214" s="158"/>
      <c r="J214" s="158"/>
      <c r="K214" s="158"/>
      <c r="L214" s="158"/>
      <c r="M214" s="158"/>
      <c r="N214" s="158"/>
      <c r="O214" s="158"/>
      <c r="P214" s="158"/>
      <c r="Q214" s="158"/>
      <c r="R214" s="158"/>
      <c r="S214" s="158"/>
      <c r="T214" s="158"/>
      <c r="U214" s="158"/>
      <c r="V214" s="158"/>
      <c r="W214" s="158"/>
      <c r="X214" s="158"/>
      <c r="Y214" s="158"/>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c r="BI214" s="158"/>
      <c r="BJ214" s="158"/>
      <c r="BK214" s="158"/>
      <c r="BL214" s="158"/>
      <c r="BM214" s="158"/>
      <c r="BN214" s="158"/>
      <c r="BO214" s="158"/>
      <c r="BP214" s="158"/>
      <c r="BQ214" s="158"/>
      <c r="BR214" s="158"/>
      <c r="BS214" s="158"/>
      <c r="BT214" s="158"/>
      <c r="BU214" s="158"/>
      <c r="BV214" s="158"/>
      <c r="BW214" s="158"/>
      <c r="BX214" s="158"/>
      <c r="BY214" s="158"/>
      <c r="BZ214" s="158"/>
      <c r="CA214" s="158"/>
      <c r="CB214" s="158"/>
      <c r="CC214" s="158"/>
      <c r="CD214" s="158"/>
      <c r="CE214" s="158"/>
      <c r="CF214" s="158"/>
      <c r="CG214" s="158"/>
      <c r="CH214" s="158"/>
      <c r="CI214" s="158"/>
      <c r="CJ214" s="158"/>
      <c r="CK214" s="158"/>
      <c r="CL214" s="158"/>
      <c r="CM214" s="158"/>
      <c r="CN214" s="158"/>
      <c r="CO214" s="158"/>
      <c r="CP214" s="158"/>
      <c r="CQ214" s="158"/>
      <c r="CR214" s="158"/>
      <c r="CS214" s="158"/>
      <c r="CT214" s="158"/>
      <c r="CU214" s="158"/>
      <c r="CV214" s="158"/>
      <c r="CW214" s="158"/>
      <c r="CX214" s="158"/>
      <c r="CY214" s="158"/>
      <c r="CZ214" s="158"/>
      <c r="DA214" s="158"/>
      <c r="DB214" s="158"/>
      <c r="DC214" s="158"/>
      <c r="DD214" s="158"/>
      <c r="DE214" s="158"/>
      <c r="DF214" s="158"/>
      <c r="DG214" s="158"/>
      <c r="DH214" s="154" t="str">
        <f>'Pelan Pengambilan'!AF110</f>
        <v/>
      </c>
      <c r="DI214" s="154"/>
      <c r="DJ214" s="3">
        <f>IFERROR(MIN('Pelan Pengambilan'!H110,'Pelan Pengambilan'!J110,'Pelan Pengambilan'!L110,'Pelan Pengambilan'!N110,'Pelan Pengambilan'!P110,'Pelan Pengambilan'!R110,'Pelan Pengambilan'!T110,'Pelan Pengambilan'!V110,'Pelan Pengambilan'!X110,'Pelan Pengambilan'!Z110,'Pelan Pengambilan'!AB110,'Pelan Pengambilan'!AD110),"")</f>
        <v>0</v>
      </c>
      <c r="DK214" s="3">
        <f>IFERROR(MAX('Pelan Pengambilan'!H110,'Pelan Pengambilan'!J110,'Pelan Pengambilan'!L110,'Pelan Pengambilan'!N110,'Pelan Pengambilan'!P110,'Pelan Pengambilan'!R110,'Pelan Pengambilan'!T110,'Pelan Pengambilan'!V110,'Pelan Pengambilan'!X110,'Pelan Pengambilan'!Z110,'Pelan Pengambilan'!AB110,'Pelan Pengambilan'!AD110),"")</f>
        <v>0</v>
      </c>
      <c r="DL214" s="3">
        <f>IFERROR(MIN('Pelan Pengambilan'!I110,'Pelan Pengambilan'!K110,'Pelan Pengambilan'!M110,'Pelan Pengambilan'!O110,'Pelan Pengambilan'!Q110,'Pelan Pengambilan'!S110,'Pelan Pengambilan'!U110,'Pelan Pengambilan'!W110,'Pelan Pengambilan'!Y110,'Pelan Pengambilan'!AA110,'Pelan Pengambilan'!AC110,'Pelan Pengambilan'!AE110),"")</f>
        <v>0</v>
      </c>
      <c r="DM214" s="3">
        <f>IFERROR(MAX('Pelan Pengambilan'!I110,'Pelan Pengambilan'!K110,'Pelan Pengambilan'!M110,'Pelan Pengambilan'!O110,'Pelan Pengambilan'!Q110,'Pelan Pengambilan'!S110,'Pelan Pengambilan'!U110,'Pelan Pengambilan'!W110,'Pelan Pengambilan'!Y110,'Pelan Pengambilan'!AA110,'Pelan Pengambilan'!AC110,'Pelan Pengambilan'!AE110),"")</f>
        <v>0</v>
      </c>
    </row>
    <row r="215" ht="19.5" customHeight="1">
      <c r="A215" s="41"/>
      <c r="B215" s="41"/>
      <c r="C215" s="41"/>
      <c r="D215" s="155" t="s">
        <v>276</v>
      </c>
      <c r="E215" s="41"/>
      <c r="F215" s="41"/>
      <c r="G215" s="158"/>
      <c r="H215" s="158"/>
      <c r="I215" s="158"/>
      <c r="J215" s="158"/>
      <c r="K215" s="158"/>
      <c r="L215" s="158"/>
      <c r="M215" s="158"/>
      <c r="N215" s="158"/>
      <c r="O215" s="158"/>
      <c r="P215" s="158"/>
      <c r="Q215" s="158"/>
      <c r="R215" s="158"/>
      <c r="S215" s="158"/>
      <c r="T215" s="158"/>
      <c r="U215" s="158"/>
      <c r="V215" s="158"/>
      <c r="W215" s="158"/>
      <c r="X215" s="158"/>
      <c r="Y215" s="158"/>
      <c r="Z215" s="158"/>
      <c r="AA215" s="158"/>
      <c r="AB215" s="158"/>
      <c r="AC215" s="158"/>
      <c r="AD215" s="158"/>
      <c r="AE215" s="158"/>
      <c r="AF215" s="158"/>
      <c r="AG215" s="158"/>
      <c r="AH215" s="158"/>
      <c r="AI215" s="158"/>
      <c r="AJ215" s="158"/>
      <c r="AK215" s="158"/>
      <c r="AL215" s="158"/>
      <c r="AM215" s="158"/>
      <c r="AN215" s="158"/>
      <c r="AO215" s="158"/>
      <c r="AP215" s="158"/>
      <c r="AQ215" s="158"/>
      <c r="AR215" s="158"/>
      <c r="AS215" s="158"/>
      <c r="AT215" s="158"/>
      <c r="AU215" s="158"/>
      <c r="AV215" s="158"/>
      <c r="AW215" s="158"/>
      <c r="AX215" s="158"/>
      <c r="AY215" s="158"/>
      <c r="AZ215" s="158"/>
      <c r="BA215" s="158"/>
      <c r="BB215" s="158"/>
      <c r="BC215" s="158"/>
      <c r="BD215" s="158"/>
      <c r="BE215" s="158"/>
      <c r="BF215" s="158"/>
      <c r="BG215" s="158"/>
      <c r="BH215" s="158"/>
      <c r="BI215" s="158"/>
      <c r="BJ215" s="158"/>
      <c r="BK215" s="158"/>
      <c r="BL215" s="158"/>
      <c r="BM215" s="158"/>
      <c r="BN215" s="158"/>
      <c r="BO215" s="158"/>
      <c r="BP215" s="158"/>
      <c r="BQ215" s="158"/>
      <c r="BR215" s="158"/>
      <c r="BS215" s="158"/>
      <c r="BT215" s="158"/>
      <c r="BU215" s="158"/>
      <c r="BV215" s="158"/>
      <c r="BW215" s="158"/>
      <c r="BX215" s="158"/>
      <c r="BY215" s="158"/>
      <c r="BZ215" s="158"/>
      <c r="CA215" s="158"/>
      <c r="CB215" s="158"/>
      <c r="CC215" s="158"/>
      <c r="CD215" s="158"/>
      <c r="CE215" s="158"/>
      <c r="CF215" s="158"/>
      <c r="CG215" s="158"/>
      <c r="CH215" s="158"/>
      <c r="CI215" s="158"/>
      <c r="CJ215" s="158"/>
      <c r="CK215" s="158"/>
      <c r="CL215" s="158"/>
      <c r="CM215" s="158"/>
      <c r="CN215" s="158"/>
      <c r="CO215" s="158"/>
      <c r="CP215" s="158"/>
      <c r="CQ215" s="158"/>
      <c r="CR215" s="158"/>
      <c r="CS215" s="158"/>
      <c r="CT215" s="158"/>
      <c r="CU215" s="158"/>
      <c r="CV215" s="158"/>
      <c r="CW215" s="158"/>
      <c r="CX215" s="158"/>
      <c r="CY215" s="158"/>
      <c r="CZ215" s="158"/>
      <c r="DA215" s="158"/>
      <c r="DB215" s="158"/>
      <c r="DC215" s="158"/>
      <c r="DD215" s="158"/>
      <c r="DE215" s="158"/>
      <c r="DF215" s="158"/>
      <c r="DG215" s="158"/>
      <c r="DH215" s="41"/>
      <c r="DI215" s="41"/>
      <c r="DJ215" s="3"/>
      <c r="DK215" s="3"/>
      <c r="DL215" s="3"/>
      <c r="DM215" s="3"/>
    </row>
    <row r="216" ht="19.5" customHeight="1">
      <c r="A216" s="153" t="str">
        <f>'Pelan Pengambilan'!B111</f>
        <v/>
      </c>
      <c r="B216" s="154" t="str">
        <f>'Pelan Pengambilan'!C111</f>
        <v/>
      </c>
      <c r="C216" s="153" t="str">
        <f t="array" ref="C216">IFERROR(IF(INDEX(Strategi!$F$5:$F$134,MATCH(LARGE(Strategi!$K$5:$K$134,106),Strategi!$K$5:$K$134,0))="","","("&amp;COUNTIFS('Pelan Pengambilan'!$B$6:$B$111,'Pelan Pengambilan'!$B111,'Pelan Pengambilan'!$C$6:$C$111,'Pelan Pengambilan'!$C111)&amp;") "&amp;INDEX(Strategi!$F$5:$F$134,MATCH(LARGE(Strategi!$K$5:$K$134,106),Strategi!$K$5:$K$134,0))),"")</f>
        <v/>
      </c>
      <c r="D216" s="155" t="s">
        <v>275</v>
      </c>
      <c r="E216" s="156" t="str">
        <f>IFERROR(IF(COUNT('Pelan Pengambilan'!H111,'Pelan Pengambilan'!J111,'Pelan Pengambilan'!L111,'Pelan Pengambilan'!N111,'Pelan Pengambilan'!P111,'Pelan Pengambilan'!R111,'Pelan Pengambilan'!T111,'Pelan Pengambilan'!V111,'Pelan Pengambilan'!X111,'Pelan Pengambilan'!Z111,'Pelan Pengambilan'!AB111,'Pelan Pengambilan'!AD111)=0,"",COUNT('Pelan Pengambilan'!I111,'Pelan Pengambilan'!K111,'Pelan Pengambilan'!M111,'Pelan Pengambilan'!O111,'Pelan Pengambilan'!Q111,'Pelan Pengambilan'!S111,'Pelan Pengambilan'!U111,'Pelan Pengambilan'!W111,'Pelan Pengambilan'!Y111,'Pelan Pengambilan'!AA111,'Pelan Pengambilan'!AC111,'Pelan Pengambilan'!AE111)/COUNT('Pelan Pengambilan'!H111,'Pelan Pengambilan'!J111,'Pelan Pengambilan'!L111,'Pelan Pengambilan'!N111,'Pelan Pengambilan'!P111,'Pelan Pengambilan'!R111,'Pelan Pengambilan'!T111,'Pelan Pengambilan'!V111,'Pelan Pengambilan'!X111,'Pelan Pengambilan'!Z111,'Pelan Pengambilan'!AB111,'Pelan Pengambilan'!AD111)),"")</f>
        <v/>
      </c>
      <c r="F216" s="157" t="str">
        <f>IFERROR(IF('Pelan Pengambilan'!G111="","",'Pelan Pengambilan'!G111),"")</f>
        <v/>
      </c>
      <c r="G216" s="158"/>
      <c r="H216" s="158"/>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c r="AF216" s="158"/>
      <c r="AG216" s="158"/>
      <c r="AH216" s="158"/>
      <c r="AI216" s="158"/>
      <c r="AJ216" s="158"/>
      <c r="AK216" s="158"/>
      <c r="AL216" s="158"/>
      <c r="AM216" s="158"/>
      <c r="AN216" s="158"/>
      <c r="AO216" s="158"/>
      <c r="AP216" s="158"/>
      <c r="AQ216" s="158"/>
      <c r="AR216" s="158"/>
      <c r="AS216" s="158"/>
      <c r="AT216" s="158"/>
      <c r="AU216" s="158"/>
      <c r="AV216" s="158"/>
      <c r="AW216" s="158"/>
      <c r="AX216" s="158"/>
      <c r="AY216" s="158"/>
      <c r="AZ216" s="158"/>
      <c r="BA216" s="158"/>
      <c r="BB216" s="158"/>
      <c r="BC216" s="158"/>
      <c r="BD216" s="158"/>
      <c r="BE216" s="158"/>
      <c r="BF216" s="158"/>
      <c r="BG216" s="158"/>
      <c r="BH216" s="158"/>
      <c r="BI216" s="158"/>
      <c r="BJ216" s="158"/>
      <c r="BK216" s="158"/>
      <c r="BL216" s="158"/>
      <c r="BM216" s="158"/>
      <c r="BN216" s="158"/>
      <c r="BO216" s="158"/>
      <c r="BP216" s="158"/>
      <c r="BQ216" s="158"/>
      <c r="BR216" s="158"/>
      <c r="BS216" s="158"/>
      <c r="BT216" s="158"/>
      <c r="BU216" s="158"/>
      <c r="BV216" s="158"/>
      <c r="BW216" s="158"/>
      <c r="BX216" s="158"/>
      <c r="BY216" s="158"/>
      <c r="BZ216" s="158"/>
      <c r="CA216" s="158"/>
      <c r="CB216" s="158"/>
      <c r="CC216" s="158"/>
      <c r="CD216" s="158"/>
      <c r="CE216" s="158"/>
      <c r="CF216" s="158"/>
      <c r="CG216" s="158"/>
      <c r="CH216" s="158"/>
      <c r="CI216" s="158"/>
      <c r="CJ216" s="158"/>
      <c r="CK216" s="158"/>
      <c r="CL216" s="158"/>
      <c r="CM216" s="158"/>
      <c r="CN216" s="158"/>
      <c r="CO216" s="158"/>
      <c r="CP216" s="158"/>
      <c r="CQ216" s="158"/>
      <c r="CR216" s="158"/>
      <c r="CS216" s="158"/>
      <c r="CT216" s="158"/>
      <c r="CU216" s="158"/>
      <c r="CV216" s="158"/>
      <c r="CW216" s="158"/>
      <c r="CX216" s="158"/>
      <c r="CY216" s="158"/>
      <c r="CZ216" s="158"/>
      <c r="DA216" s="158"/>
      <c r="DB216" s="158"/>
      <c r="DC216" s="158"/>
      <c r="DD216" s="158"/>
      <c r="DE216" s="158"/>
      <c r="DF216" s="158"/>
      <c r="DG216" s="158"/>
      <c r="DH216" s="154" t="str">
        <f>'Pelan Pengambilan'!AF111</f>
        <v/>
      </c>
      <c r="DI216" s="154"/>
      <c r="DJ216" s="3">
        <f>IFERROR(MIN('Pelan Pengambilan'!H111,'Pelan Pengambilan'!J111,'Pelan Pengambilan'!L111,'Pelan Pengambilan'!N111,'Pelan Pengambilan'!P111,'Pelan Pengambilan'!R111,'Pelan Pengambilan'!T111,'Pelan Pengambilan'!V111,'Pelan Pengambilan'!X111,'Pelan Pengambilan'!Z111,'Pelan Pengambilan'!AB111,'Pelan Pengambilan'!AD111),"")</f>
        <v>0</v>
      </c>
      <c r="DK216" s="3">
        <f>IFERROR(MAX('Pelan Pengambilan'!H111,'Pelan Pengambilan'!J111,'Pelan Pengambilan'!L111,'Pelan Pengambilan'!N111,'Pelan Pengambilan'!P111,'Pelan Pengambilan'!R111,'Pelan Pengambilan'!T111,'Pelan Pengambilan'!V111,'Pelan Pengambilan'!X111,'Pelan Pengambilan'!Z111,'Pelan Pengambilan'!AB111,'Pelan Pengambilan'!AD111),"")</f>
        <v>0</v>
      </c>
      <c r="DL216" s="3">
        <f>IFERROR(MIN('Pelan Pengambilan'!I111,'Pelan Pengambilan'!K111,'Pelan Pengambilan'!M111,'Pelan Pengambilan'!O111,'Pelan Pengambilan'!Q111,'Pelan Pengambilan'!S111,'Pelan Pengambilan'!U111,'Pelan Pengambilan'!W111,'Pelan Pengambilan'!Y111,'Pelan Pengambilan'!AA111,'Pelan Pengambilan'!AC111,'Pelan Pengambilan'!AE111),"")</f>
        <v>0</v>
      </c>
      <c r="DM216" s="3">
        <f>IFERROR(MAX('Pelan Pengambilan'!I111,'Pelan Pengambilan'!K111,'Pelan Pengambilan'!M111,'Pelan Pengambilan'!O111,'Pelan Pengambilan'!Q111,'Pelan Pengambilan'!S111,'Pelan Pengambilan'!U111,'Pelan Pengambilan'!W111,'Pelan Pengambilan'!Y111,'Pelan Pengambilan'!AA111,'Pelan Pengambilan'!AC111,'Pelan Pengambilan'!AE111),"")</f>
        <v>0</v>
      </c>
    </row>
    <row r="217" ht="19.5" customHeight="1">
      <c r="A217" s="41"/>
      <c r="B217" s="41"/>
      <c r="C217" s="41"/>
      <c r="D217" s="155" t="s">
        <v>276</v>
      </c>
      <c r="E217" s="41"/>
      <c r="F217" s="41"/>
      <c r="G217" s="158"/>
      <c r="H217" s="158"/>
      <c r="I217" s="158"/>
      <c r="J217" s="158"/>
      <c r="K217" s="158"/>
      <c r="L217" s="158"/>
      <c r="M217" s="158"/>
      <c r="N217" s="158"/>
      <c r="O217" s="158"/>
      <c r="P217" s="158"/>
      <c r="Q217" s="158"/>
      <c r="R217" s="158"/>
      <c r="S217" s="158"/>
      <c r="T217" s="158"/>
      <c r="U217" s="158"/>
      <c r="V217" s="158"/>
      <c r="W217" s="158"/>
      <c r="X217" s="158"/>
      <c r="Y217" s="158"/>
      <c r="Z217" s="158"/>
      <c r="AA217" s="158"/>
      <c r="AB217" s="158"/>
      <c r="AC217" s="158"/>
      <c r="AD217" s="158"/>
      <c r="AE217" s="158"/>
      <c r="AF217" s="158"/>
      <c r="AG217" s="158"/>
      <c r="AH217" s="158"/>
      <c r="AI217" s="158"/>
      <c r="AJ217" s="158"/>
      <c r="AK217" s="158"/>
      <c r="AL217" s="158"/>
      <c r="AM217" s="158"/>
      <c r="AN217" s="158"/>
      <c r="AO217" s="158"/>
      <c r="AP217" s="158"/>
      <c r="AQ217" s="158"/>
      <c r="AR217" s="158"/>
      <c r="AS217" s="158"/>
      <c r="AT217" s="158"/>
      <c r="AU217" s="158"/>
      <c r="AV217" s="158"/>
      <c r="AW217" s="158"/>
      <c r="AX217" s="158"/>
      <c r="AY217" s="158"/>
      <c r="AZ217" s="158"/>
      <c r="BA217" s="158"/>
      <c r="BB217" s="158"/>
      <c r="BC217" s="158"/>
      <c r="BD217" s="158"/>
      <c r="BE217" s="158"/>
      <c r="BF217" s="158"/>
      <c r="BG217" s="158"/>
      <c r="BH217" s="158"/>
      <c r="BI217" s="158"/>
      <c r="BJ217" s="158"/>
      <c r="BK217" s="158"/>
      <c r="BL217" s="158"/>
      <c r="BM217" s="158"/>
      <c r="BN217" s="158"/>
      <c r="BO217" s="158"/>
      <c r="BP217" s="158"/>
      <c r="BQ217" s="158"/>
      <c r="BR217" s="158"/>
      <c r="BS217" s="158"/>
      <c r="BT217" s="158"/>
      <c r="BU217" s="158"/>
      <c r="BV217" s="158"/>
      <c r="BW217" s="158"/>
      <c r="BX217" s="158"/>
      <c r="BY217" s="158"/>
      <c r="BZ217" s="158"/>
      <c r="CA217" s="158"/>
      <c r="CB217" s="158"/>
      <c r="CC217" s="158"/>
      <c r="CD217" s="158"/>
      <c r="CE217" s="158"/>
      <c r="CF217" s="158"/>
      <c r="CG217" s="158"/>
      <c r="CH217" s="158"/>
      <c r="CI217" s="158"/>
      <c r="CJ217" s="158"/>
      <c r="CK217" s="158"/>
      <c r="CL217" s="158"/>
      <c r="CM217" s="158"/>
      <c r="CN217" s="158"/>
      <c r="CO217" s="158"/>
      <c r="CP217" s="158"/>
      <c r="CQ217" s="158"/>
      <c r="CR217" s="158"/>
      <c r="CS217" s="158"/>
      <c r="CT217" s="158"/>
      <c r="CU217" s="158"/>
      <c r="CV217" s="158"/>
      <c r="CW217" s="158"/>
      <c r="CX217" s="158"/>
      <c r="CY217" s="158"/>
      <c r="CZ217" s="158"/>
      <c r="DA217" s="158"/>
      <c r="DB217" s="158"/>
      <c r="DC217" s="158"/>
      <c r="DD217" s="158"/>
      <c r="DE217" s="158"/>
      <c r="DF217" s="158"/>
      <c r="DG217" s="158"/>
      <c r="DH217" s="41"/>
      <c r="DI217" s="41"/>
      <c r="DJ217" s="3"/>
      <c r="DK217" s="3"/>
      <c r="DL217" s="3"/>
      <c r="DM217" s="3"/>
    </row>
    <row r="218" ht="19.5" customHeight="1">
      <c r="A218" s="153" t="str">
        <f>'Pelan Pengambilan'!B112</f>
        <v/>
      </c>
      <c r="B218" s="154" t="str">
        <f>'Pelan Pengambilan'!C112</f>
        <v/>
      </c>
      <c r="C218" s="153" t="str">
        <f t="array" ref="C218">IFERROR(IF(INDEX(Strategi!$F$5:$F$134,MATCH(LARGE(Strategi!$K$5:$K$134,107),Strategi!$K$5:$K$134,0))="","","("&amp;COUNTIFS('Pelan Pengambilan'!$B$6:$B$112,'Pelan Pengambilan'!$B112,'Pelan Pengambilan'!$C$6:$C$112,'Pelan Pengambilan'!$C112)&amp;") "&amp;INDEX(Strategi!$F$5:$F$134,MATCH(LARGE(Strategi!$K$5:$K$134,107),Strategi!$K$5:$K$134,0))),"")</f>
        <v/>
      </c>
      <c r="D218" s="155" t="s">
        <v>275</v>
      </c>
      <c r="E218" s="156" t="str">
        <f>IFERROR(IF(COUNT('Pelan Pengambilan'!H112,'Pelan Pengambilan'!J112,'Pelan Pengambilan'!L112,'Pelan Pengambilan'!N112,'Pelan Pengambilan'!P112,'Pelan Pengambilan'!R112,'Pelan Pengambilan'!T112,'Pelan Pengambilan'!V112,'Pelan Pengambilan'!X112,'Pelan Pengambilan'!Z112,'Pelan Pengambilan'!AB112,'Pelan Pengambilan'!AD112)=0,"",COUNT('Pelan Pengambilan'!I112,'Pelan Pengambilan'!K112,'Pelan Pengambilan'!M112,'Pelan Pengambilan'!O112,'Pelan Pengambilan'!Q112,'Pelan Pengambilan'!S112,'Pelan Pengambilan'!U112,'Pelan Pengambilan'!W112,'Pelan Pengambilan'!Y112,'Pelan Pengambilan'!AA112,'Pelan Pengambilan'!AC112,'Pelan Pengambilan'!AE112)/COUNT('Pelan Pengambilan'!H112,'Pelan Pengambilan'!J112,'Pelan Pengambilan'!L112,'Pelan Pengambilan'!N112,'Pelan Pengambilan'!P112,'Pelan Pengambilan'!R112,'Pelan Pengambilan'!T112,'Pelan Pengambilan'!V112,'Pelan Pengambilan'!X112,'Pelan Pengambilan'!Z112,'Pelan Pengambilan'!AB112,'Pelan Pengambilan'!AD112)),"")</f>
        <v/>
      </c>
      <c r="F218" s="157" t="str">
        <f>IFERROR(IF('Pelan Pengambilan'!G112="","",'Pelan Pengambilan'!G112),"")</f>
        <v/>
      </c>
      <c r="G218" s="158"/>
      <c r="H218" s="158"/>
      <c r="I218" s="158"/>
      <c r="J218" s="158"/>
      <c r="K218" s="158"/>
      <c r="L218" s="158"/>
      <c r="M218" s="158"/>
      <c r="N218" s="158"/>
      <c r="O218" s="158"/>
      <c r="P218" s="158"/>
      <c r="Q218" s="158"/>
      <c r="R218" s="158"/>
      <c r="S218" s="158"/>
      <c r="T218" s="158"/>
      <c r="U218" s="158"/>
      <c r="V218" s="158"/>
      <c r="W218" s="158"/>
      <c r="X218" s="158"/>
      <c r="Y218" s="158"/>
      <c r="Z218" s="158"/>
      <c r="AA218" s="158"/>
      <c r="AB218" s="158"/>
      <c r="AC218" s="158"/>
      <c r="AD218" s="158"/>
      <c r="AE218" s="158"/>
      <c r="AF218" s="158"/>
      <c r="AG218" s="158"/>
      <c r="AH218" s="158"/>
      <c r="AI218" s="158"/>
      <c r="AJ218" s="158"/>
      <c r="AK218" s="158"/>
      <c r="AL218" s="158"/>
      <c r="AM218" s="158"/>
      <c r="AN218" s="158"/>
      <c r="AO218" s="158"/>
      <c r="AP218" s="158"/>
      <c r="AQ218" s="158"/>
      <c r="AR218" s="158"/>
      <c r="AS218" s="158"/>
      <c r="AT218" s="158"/>
      <c r="AU218" s="158"/>
      <c r="AV218" s="158"/>
      <c r="AW218" s="158"/>
      <c r="AX218" s="158"/>
      <c r="AY218" s="158"/>
      <c r="AZ218" s="158"/>
      <c r="BA218" s="158"/>
      <c r="BB218" s="158"/>
      <c r="BC218" s="158"/>
      <c r="BD218" s="158"/>
      <c r="BE218" s="158"/>
      <c r="BF218" s="158"/>
      <c r="BG218" s="158"/>
      <c r="BH218" s="158"/>
      <c r="BI218" s="158"/>
      <c r="BJ218" s="158"/>
      <c r="BK218" s="158"/>
      <c r="BL218" s="158"/>
      <c r="BM218" s="158"/>
      <c r="BN218" s="158"/>
      <c r="BO218" s="158"/>
      <c r="BP218" s="158"/>
      <c r="BQ218" s="158"/>
      <c r="BR218" s="158"/>
      <c r="BS218" s="158"/>
      <c r="BT218" s="158"/>
      <c r="BU218" s="158"/>
      <c r="BV218" s="158"/>
      <c r="BW218" s="158"/>
      <c r="BX218" s="158"/>
      <c r="BY218" s="158"/>
      <c r="BZ218" s="158"/>
      <c r="CA218" s="158"/>
      <c r="CB218" s="158"/>
      <c r="CC218" s="158"/>
      <c r="CD218" s="158"/>
      <c r="CE218" s="158"/>
      <c r="CF218" s="158"/>
      <c r="CG218" s="158"/>
      <c r="CH218" s="158"/>
      <c r="CI218" s="158"/>
      <c r="CJ218" s="158"/>
      <c r="CK218" s="158"/>
      <c r="CL218" s="158"/>
      <c r="CM218" s="158"/>
      <c r="CN218" s="158"/>
      <c r="CO218" s="158"/>
      <c r="CP218" s="158"/>
      <c r="CQ218" s="158"/>
      <c r="CR218" s="158"/>
      <c r="CS218" s="158"/>
      <c r="CT218" s="158"/>
      <c r="CU218" s="158"/>
      <c r="CV218" s="158"/>
      <c r="CW218" s="158"/>
      <c r="CX218" s="158"/>
      <c r="CY218" s="158"/>
      <c r="CZ218" s="158"/>
      <c r="DA218" s="158"/>
      <c r="DB218" s="158"/>
      <c r="DC218" s="158"/>
      <c r="DD218" s="158"/>
      <c r="DE218" s="158"/>
      <c r="DF218" s="158"/>
      <c r="DG218" s="158"/>
      <c r="DH218" s="154" t="str">
        <f>'Pelan Pengambilan'!AF112</f>
        <v/>
      </c>
      <c r="DI218" s="154"/>
      <c r="DJ218" s="3">
        <f>IFERROR(MIN('Pelan Pengambilan'!H112,'Pelan Pengambilan'!J112,'Pelan Pengambilan'!L112,'Pelan Pengambilan'!N112,'Pelan Pengambilan'!P112,'Pelan Pengambilan'!R112,'Pelan Pengambilan'!T112,'Pelan Pengambilan'!V112,'Pelan Pengambilan'!X112,'Pelan Pengambilan'!Z112,'Pelan Pengambilan'!AB112,'Pelan Pengambilan'!AD112),"")</f>
        <v>0</v>
      </c>
      <c r="DK218" s="3">
        <f>IFERROR(MAX('Pelan Pengambilan'!H112,'Pelan Pengambilan'!J112,'Pelan Pengambilan'!L112,'Pelan Pengambilan'!N112,'Pelan Pengambilan'!P112,'Pelan Pengambilan'!R112,'Pelan Pengambilan'!T112,'Pelan Pengambilan'!V112,'Pelan Pengambilan'!X112,'Pelan Pengambilan'!Z112,'Pelan Pengambilan'!AB112,'Pelan Pengambilan'!AD112),"")</f>
        <v>0</v>
      </c>
      <c r="DL218" s="3">
        <f>IFERROR(MIN('Pelan Pengambilan'!I112,'Pelan Pengambilan'!K112,'Pelan Pengambilan'!M112,'Pelan Pengambilan'!O112,'Pelan Pengambilan'!Q112,'Pelan Pengambilan'!S112,'Pelan Pengambilan'!U112,'Pelan Pengambilan'!W112,'Pelan Pengambilan'!Y112,'Pelan Pengambilan'!AA112,'Pelan Pengambilan'!AC112,'Pelan Pengambilan'!AE112),"")</f>
        <v>0</v>
      </c>
      <c r="DM218" s="3">
        <f>IFERROR(MAX('Pelan Pengambilan'!I112,'Pelan Pengambilan'!K112,'Pelan Pengambilan'!M112,'Pelan Pengambilan'!O112,'Pelan Pengambilan'!Q112,'Pelan Pengambilan'!S112,'Pelan Pengambilan'!U112,'Pelan Pengambilan'!W112,'Pelan Pengambilan'!Y112,'Pelan Pengambilan'!AA112,'Pelan Pengambilan'!AC112,'Pelan Pengambilan'!AE112),"")</f>
        <v>0</v>
      </c>
    </row>
    <row r="219" ht="19.5" customHeight="1">
      <c r="A219" s="41"/>
      <c r="B219" s="41"/>
      <c r="C219" s="41"/>
      <c r="D219" s="155" t="s">
        <v>276</v>
      </c>
      <c r="E219" s="41"/>
      <c r="F219" s="41"/>
      <c r="G219" s="158"/>
      <c r="H219" s="158"/>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c r="CD219" s="158"/>
      <c r="CE219" s="158"/>
      <c r="CF219" s="158"/>
      <c r="CG219" s="158"/>
      <c r="CH219" s="158"/>
      <c r="CI219" s="158"/>
      <c r="CJ219" s="158"/>
      <c r="CK219" s="158"/>
      <c r="CL219" s="158"/>
      <c r="CM219" s="158"/>
      <c r="CN219" s="158"/>
      <c r="CO219" s="158"/>
      <c r="CP219" s="158"/>
      <c r="CQ219" s="158"/>
      <c r="CR219" s="158"/>
      <c r="CS219" s="158"/>
      <c r="CT219" s="158"/>
      <c r="CU219" s="158"/>
      <c r="CV219" s="158"/>
      <c r="CW219" s="158"/>
      <c r="CX219" s="158"/>
      <c r="CY219" s="158"/>
      <c r="CZ219" s="158"/>
      <c r="DA219" s="158"/>
      <c r="DB219" s="158"/>
      <c r="DC219" s="158"/>
      <c r="DD219" s="158"/>
      <c r="DE219" s="158"/>
      <c r="DF219" s="158"/>
      <c r="DG219" s="158"/>
      <c r="DH219" s="41"/>
      <c r="DI219" s="41"/>
      <c r="DJ219" s="3"/>
      <c r="DK219" s="3"/>
      <c r="DL219" s="3"/>
      <c r="DM219" s="3"/>
    </row>
    <row r="220" ht="19.5" customHeight="1">
      <c r="A220" s="153" t="str">
        <f>'Pelan Pengambilan'!B113</f>
        <v/>
      </c>
      <c r="B220" s="154" t="str">
        <f>'Pelan Pengambilan'!C113</f>
        <v/>
      </c>
      <c r="C220" s="153" t="str">
        <f t="array" ref="C220">IFERROR(IF(INDEX(Strategi!$F$5:$F$134,MATCH(LARGE(Strategi!$K$5:$K$134,108),Strategi!$K$5:$K$134,0))="","","("&amp;COUNTIFS('Pelan Pengambilan'!$B$6:$B$113,'Pelan Pengambilan'!$B113,'Pelan Pengambilan'!$C$6:$C$113,'Pelan Pengambilan'!$C113)&amp;") "&amp;INDEX(Strategi!$F$5:$F$134,MATCH(LARGE(Strategi!$K$5:$K$134,108),Strategi!$K$5:$K$134,0))),"")</f>
        <v/>
      </c>
      <c r="D220" s="155" t="s">
        <v>275</v>
      </c>
      <c r="E220" s="156" t="str">
        <f>IFERROR(IF(COUNT('Pelan Pengambilan'!H113,'Pelan Pengambilan'!J113,'Pelan Pengambilan'!L113,'Pelan Pengambilan'!N113,'Pelan Pengambilan'!P113,'Pelan Pengambilan'!R113,'Pelan Pengambilan'!T113,'Pelan Pengambilan'!V113,'Pelan Pengambilan'!X113,'Pelan Pengambilan'!Z113,'Pelan Pengambilan'!AB113,'Pelan Pengambilan'!AD113)=0,"",COUNT('Pelan Pengambilan'!I113,'Pelan Pengambilan'!K113,'Pelan Pengambilan'!M113,'Pelan Pengambilan'!O113,'Pelan Pengambilan'!Q113,'Pelan Pengambilan'!S113,'Pelan Pengambilan'!U113,'Pelan Pengambilan'!W113,'Pelan Pengambilan'!Y113,'Pelan Pengambilan'!AA113,'Pelan Pengambilan'!AC113,'Pelan Pengambilan'!AE113)/COUNT('Pelan Pengambilan'!H113,'Pelan Pengambilan'!J113,'Pelan Pengambilan'!L113,'Pelan Pengambilan'!N113,'Pelan Pengambilan'!P113,'Pelan Pengambilan'!R113,'Pelan Pengambilan'!T113,'Pelan Pengambilan'!V113,'Pelan Pengambilan'!X113,'Pelan Pengambilan'!Z113,'Pelan Pengambilan'!AB113,'Pelan Pengambilan'!AD113)),"")</f>
        <v/>
      </c>
      <c r="F220" s="157" t="str">
        <f>IFERROR(IF('Pelan Pengambilan'!G113="","",'Pelan Pengambilan'!G113),"")</f>
        <v/>
      </c>
      <c r="G220" s="158"/>
      <c r="H220" s="158"/>
      <c r="I220" s="158"/>
      <c r="J220" s="158"/>
      <c r="K220" s="158"/>
      <c r="L220" s="158"/>
      <c r="M220" s="158"/>
      <c r="N220" s="158"/>
      <c r="O220" s="158"/>
      <c r="P220" s="158"/>
      <c r="Q220" s="158"/>
      <c r="R220" s="158"/>
      <c r="S220" s="158"/>
      <c r="T220" s="158"/>
      <c r="U220" s="158"/>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8"/>
      <c r="AY220" s="158"/>
      <c r="AZ220" s="158"/>
      <c r="BA220" s="158"/>
      <c r="BB220" s="158"/>
      <c r="BC220" s="158"/>
      <c r="BD220" s="158"/>
      <c r="BE220" s="158"/>
      <c r="BF220" s="158"/>
      <c r="BG220" s="158"/>
      <c r="BH220" s="158"/>
      <c r="BI220" s="158"/>
      <c r="BJ220" s="158"/>
      <c r="BK220" s="158"/>
      <c r="BL220" s="158"/>
      <c r="BM220" s="158"/>
      <c r="BN220" s="158"/>
      <c r="BO220" s="158"/>
      <c r="BP220" s="158"/>
      <c r="BQ220" s="158"/>
      <c r="BR220" s="158"/>
      <c r="BS220" s="158"/>
      <c r="BT220" s="158"/>
      <c r="BU220" s="158"/>
      <c r="BV220" s="158"/>
      <c r="BW220" s="158"/>
      <c r="BX220" s="158"/>
      <c r="BY220" s="158"/>
      <c r="BZ220" s="158"/>
      <c r="CA220" s="158"/>
      <c r="CB220" s="158"/>
      <c r="CC220" s="158"/>
      <c r="CD220" s="158"/>
      <c r="CE220" s="158"/>
      <c r="CF220" s="158"/>
      <c r="CG220" s="158"/>
      <c r="CH220" s="158"/>
      <c r="CI220" s="158"/>
      <c r="CJ220" s="158"/>
      <c r="CK220" s="158"/>
      <c r="CL220" s="158"/>
      <c r="CM220" s="158"/>
      <c r="CN220" s="158"/>
      <c r="CO220" s="158"/>
      <c r="CP220" s="158"/>
      <c r="CQ220" s="158"/>
      <c r="CR220" s="158"/>
      <c r="CS220" s="158"/>
      <c r="CT220" s="158"/>
      <c r="CU220" s="158"/>
      <c r="CV220" s="158"/>
      <c r="CW220" s="158"/>
      <c r="CX220" s="158"/>
      <c r="CY220" s="158"/>
      <c r="CZ220" s="158"/>
      <c r="DA220" s="158"/>
      <c r="DB220" s="158"/>
      <c r="DC220" s="158"/>
      <c r="DD220" s="158"/>
      <c r="DE220" s="158"/>
      <c r="DF220" s="158"/>
      <c r="DG220" s="158"/>
      <c r="DH220" s="154" t="str">
        <f>'Pelan Pengambilan'!AF113</f>
        <v/>
      </c>
      <c r="DI220" s="154"/>
      <c r="DJ220" s="3">
        <f>IFERROR(MIN('Pelan Pengambilan'!H113,'Pelan Pengambilan'!J113,'Pelan Pengambilan'!L113,'Pelan Pengambilan'!N113,'Pelan Pengambilan'!P113,'Pelan Pengambilan'!R113,'Pelan Pengambilan'!T113,'Pelan Pengambilan'!V113,'Pelan Pengambilan'!X113,'Pelan Pengambilan'!Z113,'Pelan Pengambilan'!AB113,'Pelan Pengambilan'!AD113),"")</f>
        <v>0</v>
      </c>
      <c r="DK220" s="3">
        <f>IFERROR(MAX('Pelan Pengambilan'!H113,'Pelan Pengambilan'!J113,'Pelan Pengambilan'!L113,'Pelan Pengambilan'!N113,'Pelan Pengambilan'!P113,'Pelan Pengambilan'!R113,'Pelan Pengambilan'!T113,'Pelan Pengambilan'!V113,'Pelan Pengambilan'!X113,'Pelan Pengambilan'!Z113,'Pelan Pengambilan'!AB113,'Pelan Pengambilan'!AD113),"")</f>
        <v>0</v>
      </c>
      <c r="DL220" s="3">
        <f>IFERROR(MIN('Pelan Pengambilan'!I113,'Pelan Pengambilan'!K113,'Pelan Pengambilan'!M113,'Pelan Pengambilan'!O113,'Pelan Pengambilan'!Q113,'Pelan Pengambilan'!S113,'Pelan Pengambilan'!U113,'Pelan Pengambilan'!W113,'Pelan Pengambilan'!Y113,'Pelan Pengambilan'!AA113,'Pelan Pengambilan'!AC113,'Pelan Pengambilan'!AE113),"")</f>
        <v>0</v>
      </c>
      <c r="DM220" s="3">
        <f>IFERROR(MAX('Pelan Pengambilan'!I113,'Pelan Pengambilan'!K113,'Pelan Pengambilan'!M113,'Pelan Pengambilan'!O113,'Pelan Pengambilan'!Q113,'Pelan Pengambilan'!S113,'Pelan Pengambilan'!U113,'Pelan Pengambilan'!W113,'Pelan Pengambilan'!Y113,'Pelan Pengambilan'!AA113,'Pelan Pengambilan'!AC113,'Pelan Pengambilan'!AE113),"")</f>
        <v>0</v>
      </c>
    </row>
    <row r="221" ht="19.5" customHeight="1">
      <c r="A221" s="41"/>
      <c r="B221" s="41"/>
      <c r="C221" s="41"/>
      <c r="D221" s="155" t="s">
        <v>276</v>
      </c>
      <c r="E221" s="41"/>
      <c r="F221" s="41"/>
      <c r="G221" s="158"/>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c r="AT221" s="158"/>
      <c r="AU221" s="158"/>
      <c r="AV221" s="158"/>
      <c r="AW221" s="158"/>
      <c r="AX221" s="158"/>
      <c r="AY221" s="158"/>
      <c r="AZ221" s="158"/>
      <c r="BA221" s="158"/>
      <c r="BB221" s="158"/>
      <c r="BC221" s="158"/>
      <c r="BD221" s="158"/>
      <c r="BE221" s="158"/>
      <c r="BF221" s="158"/>
      <c r="BG221" s="158"/>
      <c r="BH221" s="158"/>
      <c r="BI221" s="158"/>
      <c r="BJ221" s="158"/>
      <c r="BK221" s="158"/>
      <c r="BL221" s="158"/>
      <c r="BM221" s="158"/>
      <c r="BN221" s="158"/>
      <c r="BO221" s="158"/>
      <c r="BP221" s="158"/>
      <c r="BQ221" s="158"/>
      <c r="BR221" s="158"/>
      <c r="BS221" s="158"/>
      <c r="BT221" s="158"/>
      <c r="BU221" s="158"/>
      <c r="BV221" s="158"/>
      <c r="BW221" s="158"/>
      <c r="BX221" s="158"/>
      <c r="BY221" s="158"/>
      <c r="BZ221" s="158"/>
      <c r="CA221" s="158"/>
      <c r="CB221" s="158"/>
      <c r="CC221" s="158"/>
      <c r="CD221" s="158"/>
      <c r="CE221" s="158"/>
      <c r="CF221" s="158"/>
      <c r="CG221" s="158"/>
      <c r="CH221" s="158"/>
      <c r="CI221" s="158"/>
      <c r="CJ221" s="158"/>
      <c r="CK221" s="158"/>
      <c r="CL221" s="158"/>
      <c r="CM221" s="158"/>
      <c r="CN221" s="158"/>
      <c r="CO221" s="158"/>
      <c r="CP221" s="158"/>
      <c r="CQ221" s="158"/>
      <c r="CR221" s="158"/>
      <c r="CS221" s="158"/>
      <c r="CT221" s="158"/>
      <c r="CU221" s="158"/>
      <c r="CV221" s="158"/>
      <c r="CW221" s="158"/>
      <c r="CX221" s="158"/>
      <c r="CY221" s="158"/>
      <c r="CZ221" s="158"/>
      <c r="DA221" s="158"/>
      <c r="DB221" s="158"/>
      <c r="DC221" s="158"/>
      <c r="DD221" s="158"/>
      <c r="DE221" s="158"/>
      <c r="DF221" s="158"/>
      <c r="DG221" s="158"/>
      <c r="DH221" s="41"/>
      <c r="DI221" s="41"/>
      <c r="DJ221" s="3"/>
      <c r="DK221" s="3"/>
      <c r="DL221" s="3"/>
      <c r="DM221" s="3"/>
    </row>
    <row r="222" ht="19.5" customHeight="1">
      <c r="A222" s="153" t="str">
        <f>'Pelan Pengambilan'!B114</f>
        <v/>
      </c>
      <c r="B222" s="154" t="str">
        <f>'Pelan Pengambilan'!C114</f>
        <v/>
      </c>
      <c r="C222" s="153" t="str">
        <f t="array" ref="C222">IFERROR(IF(INDEX(Strategi!$F$5:$F$134,MATCH(LARGE(Strategi!$K$5:$K$134,109),Strategi!$K$5:$K$134,0))="","","("&amp;COUNTIFS('Pelan Pengambilan'!$B$6:$B$114,'Pelan Pengambilan'!$B114,'Pelan Pengambilan'!$C$6:$C$114,'Pelan Pengambilan'!$C114)&amp;") "&amp;INDEX(Strategi!$F$5:$F$134,MATCH(LARGE(Strategi!$K$5:$K$134,109),Strategi!$K$5:$K$134,0))),"")</f>
        <v/>
      </c>
      <c r="D222" s="155" t="s">
        <v>275</v>
      </c>
      <c r="E222" s="156" t="str">
        <f>IFERROR(IF(COUNT('Pelan Pengambilan'!H114,'Pelan Pengambilan'!J114,'Pelan Pengambilan'!L114,'Pelan Pengambilan'!N114,'Pelan Pengambilan'!P114,'Pelan Pengambilan'!R114,'Pelan Pengambilan'!T114,'Pelan Pengambilan'!V114,'Pelan Pengambilan'!X114,'Pelan Pengambilan'!Z114,'Pelan Pengambilan'!AB114,'Pelan Pengambilan'!AD114)=0,"",COUNT('Pelan Pengambilan'!I114,'Pelan Pengambilan'!K114,'Pelan Pengambilan'!M114,'Pelan Pengambilan'!O114,'Pelan Pengambilan'!Q114,'Pelan Pengambilan'!S114,'Pelan Pengambilan'!U114,'Pelan Pengambilan'!W114,'Pelan Pengambilan'!Y114,'Pelan Pengambilan'!AA114,'Pelan Pengambilan'!AC114,'Pelan Pengambilan'!AE114)/COUNT('Pelan Pengambilan'!H114,'Pelan Pengambilan'!J114,'Pelan Pengambilan'!L114,'Pelan Pengambilan'!N114,'Pelan Pengambilan'!P114,'Pelan Pengambilan'!R114,'Pelan Pengambilan'!T114,'Pelan Pengambilan'!V114,'Pelan Pengambilan'!X114,'Pelan Pengambilan'!Z114,'Pelan Pengambilan'!AB114,'Pelan Pengambilan'!AD114)),"")</f>
        <v/>
      </c>
      <c r="F222" s="157" t="str">
        <f>IFERROR(IF('Pelan Pengambilan'!G114="","",'Pelan Pengambilan'!G114),"")</f>
        <v/>
      </c>
      <c r="G222" s="158"/>
      <c r="H222" s="158"/>
      <c r="I222" s="158"/>
      <c r="J222" s="158"/>
      <c r="K222" s="158"/>
      <c r="L222" s="158"/>
      <c r="M222" s="158"/>
      <c r="N222" s="158"/>
      <c r="O222" s="158"/>
      <c r="P222" s="158"/>
      <c r="Q222" s="158"/>
      <c r="R222" s="158"/>
      <c r="S222" s="158"/>
      <c r="T222" s="158"/>
      <c r="U222" s="158"/>
      <c r="V222" s="158"/>
      <c r="W222" s="158"/>
      <c r="X222" s="158"/>
      <c r="Y222" s="158"/>
      <c r="Z222" s="158"/>
      <c r="AA222" s="158"/>
      <c r="AB222" s="158"/>
      <c r="AC222" s="158"/>
      <c r="AD222" s="158"/>
      <c r="AE222" s="158"/>
      <c r="AF222" s="158"/>
      <c r="AG222" s="158"/>
      <c r="AH222" s="158"/>
      <c r="AI222" s="158"/>
      <c r="AJ222" s="158"/>
      <c r="AK222" s="158"/>
      <c r="AL222" s="158"/>
      <c r="AM222" s="158"/>
      <c r="AN222" s="158"/>
      <c r="AO222" s="158"/>
      <c r="AP222" s="158"/>
      <c r="AQ222" s="158"/>
      <c r="AR222" s="158"/>
      <c r="AS222" s="158"/>
      <c r="AT222" s="158"/>
      <c r="AU222" s="158"/>
      <c r="AV222" s="158"/>
      <c r="AW222" s="158"/>
      <c r="AX222" s="158"/>
      <c r="AY222" s="158"/>
      <c r="AZ222" s="158"/>
      <c r="BA222" s="158"/>
      <c r="BB222" s="158"/>
      <c r="BC222" s="158"/>
      <c r="BD222" s="158"/>
      <c r="BE222" s="158"/>
      <c r="BF222" s="158"/>
      <c r="BG222" s="158"/>
      <c r="BH222" s="158"/>
      <c r="BI222" s="158"/>
      <c r="BJ222" s="158"/>
      <c r="BK222" s="158"/>
      <c r="BL222" s="158"/>
      <c r="BM222" s="158"/>
      <c r="BN222" s="158"/>
      <c r="BO222" s="158"/>
      <c r="BP222" s="158"/>
      <c r="BQ222" s="158"/>
      <c r="BR222" s="158"/>
      <c r="BS222" s="158"/>
      <c r="BT222" s="158"/>
      <c r="BU222" s="158"/>
      <c r="BV222" s="158"/>
      <c r="BW222" s="158"/>
      <c r="BX222" s="158"/>
      <c r="BY222" s="158"/>
      <c r="BZ222" s="158"/>
      <c r="CA222" s="158"/>
      <c r="CB222" s="158"/>
      <c r="CC222" s="158"/>
      <c r="CD222" s="158"/>
      <c r="CE222" s="158"/>
      <c r="CF222" s="158"/>
      <c r="CG222" s="158"/>
      <c r="CH222" s="158"/>
      <c r="CI222" s="158"/>
      <c r="CJ222" s="158"/>
      <c r="CK222" s="158"/>
      <c r="CL222" s="158"/>
      <c r="CM222" s="158"/>
      <c r="CN222" s="158"/>
      <c r="CO222" s="158"/>
      <c r="CP222" s="158"/>
      <c r="CQ222" s="158"/>
      <c r="CR222" s="158"/>
      <c r="CS222" s="158"/>
      <c r="CT222" s="158"/>
      <c r="CU222" s="158"/>
      <c r="CV222" s="158"/>
      <c r="CW222" s="158"/>
      <c r="CX222" s="158"/>
      <c r="CY222" s="158"/>
      <c r="CZ222" s="158"/>
      <c r="DA222" s="158"/>
      <c r="DB222" s="158"/>
      <c r="DC222" s="158"/>
      <c r="DD222" s="158"/>
      <c r="DE222" s="158"/>
      <c r="DF222" s="158"/>
      <c r="DG222" s="158"/>
      <c r="DH222" s="154" t="str">
        <f>'Pelan Pengambilan'!AF114</f>
        <v/>
      </c>
      <c r="DI222" s="154"/>
      <c r="DJ222" s="3">
        <f>IFERROR(MIN('Pelan Pengambilan'!H114,'Pelan Pengambilan'!J114,'Pelan Pengambilan'!L114,'Pelan Pengambilan'!N114,'Pelan Pengambilan'!P114,'Pelan Pengambilan'!R114,'Pelan Pengambilan'!T114,'Pelan Pengambilan'!V114,'Pelan Pengambilan'!X114,'Pelan Pengambilan'!Z114,'Pelan Pengambilan'!AB114,'Pelan Pengambilan'!AD114),"")</f>
        <v>0</v>
      </c>
      <c r="DK222" s="3">
        <f>IFERROR(MAX('Pelan Pengambilan'!H114,'Pelan Pengambilan'!J114,'Pelan Pengambilan'!L114,'Pelan Pengambilan'!N114,'Pelan Pengambilan'!P114,'Pelan Pengambilan'!R114,'Pelan Pengambilan'!T114,'Pelan Pengambilan'!V114,'Pelan Pengambilan'!X114,'Pelan Pengambilan'!Z114,'Pelan Pengambilan'!AB114,'Pelan Pengambilan'!AD114),"")</f>
        <v>0</v>
      </c>
      <c r="DL222" s="3">
        <f>IFERROR(MIN('Pelan Pengambilan'!I114,'Pelan Pengambilan'!K114,'Pelan Pengambilan'!M114,'Pelan Pengambilan'!O114,'Pelan Pengambilan'!Q114,'Pelan Pengambilan'!S114,'Pelan Pengambilan'!U114,'Pelan Pengambilan'!W114,'Pelan Pengambilan'!Y114,'Pelan Pengambilan'!AA114,'Pelan Pengambilan'!AC114,'Pelan Pengambilan'!AE114),"")</f>
        <v>0</v>
      </c>
      <c r="DM222" s="3">
        <f>IFERROR(MAX('Pelan Pengambilan'!I114,'Pelan Pengambilan'!K114,'Pelan Pengambilan'!M114,'Pelan Pengambilan'!O114,'Pelan Pengambilan'!Q114,'Pelan Pengambilan'!S114,'Pelan Pengambilan'!U114,'Pelan Pengambilan'!W114,'Pelan Pengambilan'!Y114,'Pelan Pengambilan'!AA114,'Pelan Pengambilan'!AC114,'Pelan Pengambilan'!AE114),"")</f>
        <v>0</v>
      </c>
    </row>
    <row r="223" ht="19.5" customHeight="1">
      <c r="A223" s="41"/>
      <c r="B223" s="41"/>
      <c r="C223" s="41"/>
      <c r="D223" s="155" t="s">
        <v>276</v>
      </c>
      <c r="E223" s="41"/>
      <c r="F223" s="41"/>
      <c r="G223" s="158"/>
      <c r="H223" s="158"/>
      <c r="I223" s="158"/>
      <c r="J223" s="158"/>
      <c r="K223" s="158"/>
      <c r="L223" s="158"/>
      <c r="M223" s="158"/>
      <c r="N223" s="158"/>
      <c r="O223" s="158"/>
      <c r="P223" s="158"/>
      <c r="Q223" s="158"/>
      <c r="R223" s="158"/>
      <c r="S223" s="158"/>
      <c r="T223" s="158"/>
      <c r="U223" s="158"/>
      <c r="V223" s="158"/>
      <c r="W223" s="158"/>
      <c r="X223" s="158"/>
      <c r="Y223" s="158"/>
      <c r="Z223" s="158"/>
      <c r="AA223" s="158"/>
      <c r="AB223" s="158"/>
      <c r="AC223" s="158"/>
      <c r="AD223" s="158"/>
      <c r="AE223" s="158"/>
      <c r="AF223" s="158"/>
      <c r="AG223" s="158"/>
      <c r="AH223" s="158"/>
      <c r="AI223" s="158"/>
      <c r="AJ223" s="158"/>
      <c r="AK223" s="158"/>
      <c r="AL223" s="158"/>
      <c r="AM223" s="158"/>
      <c r="AN223" s="158"/>
      <c r="AO223" s="158"/>
      <c r="AP223" s="158"/>
      <c r="AQ223" s="158"/>
      <c r="AR223" s="158"/>
      <c r="AS223" s="158"/>
      <c r="AT223" s="158"/>
      <c r="AU223" s="158"/>
      <c r="AV223" s="158"/>
      <c r="AW223" s="158"/>
      <c r="AX223" s="158"/>
      <c r="AY223" s="158"/>
      <c r="AZ223" s="158"/>
      <c r="BA223" s="158"/>
      <c r="BB223" s="158"/>
      <c r="BC223" s="158"/>
      <c r="BD223" s="158"/>
      <c r="BE223" s="158"/>
      <c r="BF223" s="158"/>
      <c r="BG223" s="158"/>
      <c r="BH223" s="158"/>
      <c r="BI223" s="158"/>
      <c r="BJ223" s="158"/>
      <c r="BK223" s="158"/>
      <c r="BL223" s="158"/>
      <c r="BM223" s="158"/>
      <c r="BN223" s="158"/>
      <c r="BO223" s="158"/>
      <c r="BP223" s="158"/>
      <c r="BQ223" s="158"/>
      <c r="BR223" s="158"/>
      <c r="BS223" s="158"/>
      <c r="BT223" s="158"/>
      <c r="BU223" s="158"/>
      <c r="BV223" s="158"/>
      <c r="BW223" s="158"/>
      <c r="BX223" s="158"/>
      <c r="BY223" s="158"/>
      <c r="BZ223" s="158"/>
      <c r="CA223" s="158"/>
      <c r="CB223" s="158"/>
      <c r="CC223" s="158"/>
      <c r="CD223" s="158"/>
      <c r="CE223" s="158"/>
      <c r="CF223" s="158"/>
      <c r="CG223" s="158"/>
      <c r="CH223" s="158"/>
      <c r="CI223" s="158"/>
      <c r="CJ223" s="158"/>
      <c r="CK223" s="158"/>
      <c r="CL223" s="158"/>
      <c r="CM223" s="158"/>
      <c r="CN223" s="158"/>
      <c r="CO223" s="158"/>
      <c r="CP223" s="158"/>
      <c r="CQ223" s="158"/>
      <c r="CR223" s="158"/>
      <c r="CS223" s="158"/>
      <c r="CT223" s="158"/>
      <c r="CU223" s="158"/>
      <c r="CV223" s="158"/>
      <c r="CW223" s="158"/>
      <c r="CX223" s="158"/>
      <c r="CY223" s="158"/>
      <c r="CZ223" s="158"/>
      <c r="DA223" s="158"/>
      <c r="DB223" s="158"/>
      <c r="DC223" s="158"/>
      <c r="DD223" s="158"/>
      <c r="DE223" s="158"/>
      <c r="DF223" s="158"/>
      <c r="DG223" s="158"/>
      <c r="DH223" s="41"/>
      <c r="DI223" s="41"/>
      <c r="DJ223" s="3"/>
      <c r="DK223" s="3"/>
      <c r="DL223" s="3"/>
      <c r="DM223" s="3"/>
    </row>
    <row r="224" ht="19.5" customHeight="1">
      <c r="A224" s="153" t="str">
        <f>'Pelan Pengambilan'!B115</f>
        <v/>
      </c>
      <c r="B224" s="154" t="str">
        <f>'Pelan Pengambilan'!C115</f>
        <v/>
      </c>
      <c r="C224" s="153" t="str">
        <f t="array" ref="C224">IFERROR(IF(INDEX(Strategi!$F$5:$F$134,MATCH(LARGE(Strategi!$K$5:$K$134,110),Strategi!$K$5:$K$134,0))="","","("&amp;COUNTIFS('Pelan Pengambilan'!$B$6:$B$115,'Pelan Pengambilan'!$B115,'Pelan Pengambilan'!$C$6:$C$115,'Pelan Pengambilan'!$C115)&amp;") "&amp;INDEX(Strategi!$F$5:$F$134,MATCH(LARGE(Strategi!$K$5:$K$134,110),Strategi!$K$5:$K$134,0))),"")</f>
        <v/>
      </c>
      <c r="D224" s="155" t="s">
        <v>275</v>
      </c>
      <c r="E224" s="156" t="str">
        <f>IFERROR(IF(COUNT('Pelan Pengambilan'!H115,'Pelan Pengambilan'!J115,'Pelan Pengambilan'!L115,'Pelan Pengambilan'!N115,'Pelan Pengambilan'!P115,'Pelan Pengambilan'!R115,'Pelan Pengambilan'!T115,'Pelan Pengambilan'!V115,'Pelan Pengambilan'!X115,'Pelan Pengambilan'!Z115,'Pelan Pengambilan'!AB115,'Pelan Pengambilan'!AD115)=0,"",COUNT('Pelan Pengambilan'!I115,'Pelan Pengambilan'!K115,'Pelan Pengambilan'!M115,'Pelan Pengambilan'!O115,'Pelan Pengambilan'!Q115,'Pelan Pengambilan'!S115,'Pelan Pengambilan'!U115,'Pelan Pengambilan'!W115,'Pelan Pengambilan'!Y115,'Pelan Pengambilan'!AA115,'Pelan Pengambilan'!AC115,'Pelan Pengambilan'!AE115)/COUNT('Pelan Pengambilan'!H115,'Pelan Pengambilan'!J115,'Pelan Pengambilan'!L115,'Pelan Pengambilan'!N115,'Pelan Pengambilan'!P115,'Pelan Pengambilan'!R115,'Pelan Pengambilan'!T115,'Pelan Pengambilan'!V115,'Pelan Pengambilan'!X115,'Pelan Pengambilan'!Z115,'Pelan Pengambilan'!AB115,'Pelan Pengambilan'!AD115)),"")</f>
        <v/>
      </c>
      <c r="F224" s="157" t="str">
        <f>IFERROR(IF('Pelan Pengambilan'!G115="","",'Pelan Pengambilan'!G115),"")</f>
        <v/>
      </c>
      <c r="G224" s="158"/>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c r="AN224" s="158"/>
      <c r="AO224" s="158"/>
      <c r="AP224" s="158"/>
      <c r="AQ224" s="158"/>
      <c r="AR224" s="158"/>
      <c r="AS224" s="158"/>
      <c r="AT224" s="158"/>
      <c r="AU224" s="158"/>
      <c r="AV224" s="158"/>
      <c r="AW224" s="158"/>
      <c r="AX224" s="158"/>
      <c r="AY224" s="158"/>
      <c r="AZ224" s="158"/>
      <c r="BA224" s="158"/>
      <c r="BB224" s="158"/>
      <c r="BC224" s="158"/>
      <c r="BD224" s="158"/>
      <c r="BE224" s="158"/>
      <c r="BF224" s="158"/>
      <c r="BG224" s="158"/>
      <c r="BH224" s="158"/>
      <c r="BI224" s="158"/>
      <c r="BJ224" s="158"/>
      <c r="BK224" s="158"/>
      <c r="BL224" s="158"/>
      <c r="BM224" s="158"/>
      <c r="BN224" s="158"/>
      <c r="BO224" s="158"/>
      <c r="BP224" s="158"/>
      <c r="BQ224" s="158"/>
      <c r="BR224" s="158"/>
      <c r="BS224" s="158"/>
      <c r="BT224" s="158"/>
      <c r="BU224" s="158"/>
      <c r="BV224" s="158"/>
      <c r="BW224" s="158"/>
      <c r="BX224" s="158"/>
      <c r="BY224" s="158"/>
      <c r="BZ224" s="158"/>
      <c r="CA224" s="158"/>
      <c r="CB224" s="158"/>
      <c r="CC224" s="158"/>
      <c r="CD224" s="158"/>
      <c r="CE224" s="158"/>
      <c r="CF224" s="158"/>
      <c r="CG224" s="158"/>
      <c r="CH224" s="158"/>
      <c r="CI224" s="158"/>
      <c r="CJ224" s="158"/>
      <c r="CK224" s="158"/>
      <c r="CL224" s="158"/>
      <c r="CM224" s="158"/>
      <c r="CN224" s="158"/>
      <c r="CO224" s="158"/>
      <c r="CP224" s="158"/>
      <c r="CQ224" s="158"/>
      <c r="CR224" s="158"/>
      <c r="CS224" s="158"/>
      <c r="CT224" s="158"/>
      <c r="CU224" s="158"/>
      <c r="CV224" s="158"/>
      <c r="CW224" s="158"/>
      <c r="CX224" s="158"/>
      <c r="CY224" s="158"/>
      <c r="CZ224" s="158"/>
      <c r="DA224" s="158"/>
      <c r="DB224" s="158"/>
      <c r="DC224" s="158"/>
      <c r="DD224" s="158"/>
      <c r="DE224" s="158"/>
      <c r="DF224" s="158"/>
      <c r="DG224" s="158"/>
      <c r="DH224" s="154" t="str">
        <f>'Pelan Pengambilan'!AF115</f>
        <v/>
      </c>
      <c r="DI224" s="154"/>
      <c r="DJ224" s="3">
        <f>IFERROR(MIN('Pelan Pengambilan'!H115,'Pelan Pengambilan'!J115,'Pelan Pengambilan'!L115,'Pelan Pengambilan'!N115,'Pelan Pengambilan'!P115,'Pelan Pengambilan'!R115,'Pelan Pengambilan'!T115,'Pelan Pengambilan'!V115,'Pelan Pengambilan'!X115,'Pelan Pengambilan'!Z115,'Pelan Pengambilan'!AB115,'Pelan Pengambilan'!AD115),"")</f>
        <v>0</v>
      </c>
      <c r="DK224" s="3">
        <f>IFERROR(MAX('Pelan Pengambilan'!H115,'Pelan Pengambilan'!J115,'Pelan Pengambilan'!L115,'Pelan Pengambilan'!N115,'Pelan Pengambilan'!P115,'Pelan Pengambilan'!R115,'Pelan Pengambilan'!T115,'Pelan Pengambilan'!V115,'Pelan Pengambilan'!X115,'Pelan Pengambilan'!Z115,'Pelan Pengambilan'!AB115,'Pelan Pengambilan'!AD115),"")</f>
        <v>0</v>
      </c>
      <c r="DL224" s="3">
        <f>IFERROR(MIN('Pelan Pengambilan'!I115,'Pelan Pengambilan'!K115,'Pelan Pengambilan'!M115,'Pelan Pengambilan'!O115,'Pelan Pengambilan'!Q115,'Pelan Pengambilan'!S115,'Pelan Pengambilan'!U115,'Pelan Pengambilan'!W115,'Pelan Pengambilan'!Y115,'Pelan Pengambilan'!AA115,'Pelan Pengambilan'!AC115,'Pelan Pengambilan'!AE115),"")</f>
        <v>0</v>
      </c>
      <c r="DM224" s="3">
        <f>IFERROR(MAX('Pelan Pengambilan'!I115,'Pelan Pengambilan'!K115,'Pelan Pengambilan'!M115,'Pelan Pengambilan'!O115,'Pelan Pengambilan'!Q115,'Pelan Pengambilan'!S115,'Pelan Pengambilan'!U115,'Pelan Pengambilan'!W115,'Pelan Pengambilan'!Y115,'Pelan Pengambilan'!AA115,'Pelan Pengambilan'!AC115,'Pelan Pengambilan'!AE115),"")</f>
        <v>0</v>
      </c>
    </row>
    <row r="225" ht="19.5" customHeight="1">
      <c r="A225" s="41"/>
      <c r="B225" s="41"/>
      <c r="C225" s="41"/>
      <c r="D225" s="155" t="s">
        <v>276</v>
      </c>
      <c r="E225" s="41"/>
      <c r="F225" s="41"/>
      <c r="G225" s="158"/>
      <c r="H225" s="158"/>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c r="AF225" s="158"/>
      <c r="AG225" s="158"/>
      <c r="AH225" s="158"/>
      <c r="AI225" s="158"/>
      <c r="AJ225" s="158"/>
      <c r="AK225" s="158"/>
      <c r="AL225" s="158"/>
      <c r="AM225" s="158"/>
      <c r="AN225" s="158"/>
      <c r="AO225" s="158"/>
      <c r="AP225" s="158"/>
      <c r="AQ225" s="158"/>
      <c r="AR225" s="158"/>
      <c r="AS225" s="158"/>
      <c r="AT225" s="158"/>
      <c r="AU225" s="158"/>
      <c r="AV225" s="158"/>
      <c r="AW225" s="158"/>
      <c r="AX225" s="158"/>
      <c r="AY225" s="158"/>
      <c r="AZ225" s="158"/>
      <c r="BA225" s="158"/>
      <c r="BB225" s="158"/>
      <c r="BC225" s="158"/>
      <c r="BD225" s="158"/>
      <c r="BE225" s="158"/>
      <c r="BF225" s="158"/>
      <c r="BG225" s="158"/>
      <c r="BH225" s="158"/>
      <c r="BI225" s="158"/>
      <c r="BJ225" s="158"/>
      <c r="BK225" s="158"/>
      <c r="BL225" s="158"/>
      <c r="BM225" s="158"/>
      <c r="BN225" s="158"/>
      <c r="BO225" s="158"/>
      <c r="BP225" s="158"/>
      <c r="BQ225" s="158"/>
      <c r="BR225" s="158"/>
      <c r="BS225" s="158"/>
      <c r="BT225" s="158"/>
      <c r="BU225" s="158"/>
      <c r="BV225" s="158"/>
      <c r="BW225" s="158"/>
      <c r="BX225" s="158"/>
      <c r="BY225" s="158"/>
      <c r="BZ225" s="158"/>
      <c r="CA225" s="158"/>
      <c r="CB225" s="158"/>
      <c r="CC225" s="158"/>
      <c r="CD225" s="158"/>
      <c r="CE225" s="158"/>
      <c r="CF225" s="158"/>
      <c r="CG225" s="158"/>
      <c r="CH225" s="158"/>
      <c r="CI225" s="158"/>
      <c r="CJ225" s="158"/>
      <c r="CK225" s="158"/>
      <c r="CL225" s="158"/>
      <c r="CM225" s="158"/>
      <c r="CN225" s="158"/>
      <c r="CO225" s="158"/>
      <c r="CP225" s="158"/>
      <c r="CQ225" s="158"/>
      <c r="CR225" s="158"/>
      <c r="CS225" s="158"/>
      <c r="CT225" s="158"/>
      <c r="CU225" s="158"/>
      <c r="CV225" s="158"/>
      <c r="CW225" s="158"/>
      <c r="CX225" s="158"/>
      <c r="CY225" s="158"/>
      <c r="CZ225" s="158"/>
      <c r="DA225" s="158"/>
      <c r="DB225" s="158"/>
      <c r="DC225" s="158"/>
      <c r="DD225" s="158"/>
      <c r="DE225" s="158"/>
      <c r="DF225" s="158"/>
      <c r="DG225" s="158"/>
      <c r="DH225" s="41"/>
      <c r="DI225" s="41"/>
      <c r="DJ225" s="3"/>
      <c r="DK225" s="3"/>
      <c r="DL225" s="3"/>
      <c r="DM225" s="3"/>
    </row>
    <row r="226" ht="19.5" customHeight="1">
      <c r="A226" s="153" t="str">
        <f>'Pelan Pengambilan'!B116</f>
        <v/>
      </c>
      <c r="B226" s="154" t="str">
        <f>'Pelan Pengambilan'!C116</f>
        <v/>
      </c>
      <c r="C226" s="153" t="str">
        <f t="array" ref="C226">IFERROR(IF(INDEX(Strategi!$F$5:$F$134,MATCH(LARGE(Strategi!$K$5:$K$134,111),Strategi!$K$5:$K$134,0))="","","("&amp;COUNTIFS('Pelan Pengambilan'!$B$6:$B$116,'Pelan Pengambilan'!$B116,'Pelan Pengambilan'!$C$6:$C$116,'Pelan Pengambilan'!$C116)&amp;") "&amp;INDEX(Strategi!$F$5:$F$134,MATCH(LARGE(Strategi!$K$5:$K$134,111),Strategi!$K$5:$K$134,0))),"")</f>
        <v/>
      </c>
      <c r="D226" s="155" t="s">
        <v>275</v>
      </c>
      <c r="E226" s="156" t="str">
        <f>IFERROR(IF(COUNT('Pelan Pengambilan'!H116,'Pelan Pengambilan'!J116,'Pelan Pengambilan'!L116,'Pelan Pengambilan'!N116,'Pelan Pengambilan'!P116,'Pelan Pengambilan'!R116,'Pelan Pengambilan'!T116,'Pelan Pengambilan'!V116,'Pelan Pengambilan'!X116,'Pelan Pengambilan'!Z116,'Pelan Pengambilan'!AB116,'Pelan Pengambilan'!AD116)=0,"",COUNT('Pelan Pengambilan'!I116,'Pelan Pengambilan'!K116,'Pelan Pengambilan'!M116,'Pelan Pengambilan'!O116,'Pelan Pengambilan'!Q116,'Pelan Pengambilan'!S116,'Pelan Pengambilan'!U116,'Pelan Pengambilan'!W116,'Pelan Pengambilan'!Y116,'Pelan Pengambilan'!AA116,'Pelan Pengambilan'!AC116,'Pelan Pengambilan'!AE116)/COUNT('Pelan Pengambilan'!H116,'Pelan Pengambilan'!J116,'Pelan Pengambilan'!L116,'Pelan Pengambilan'!N116,'Pelan Pengambilan'!P116,'Pelan Pengambilan'!R116,'Pelan Pengambilan'!T116,'Pelan Pengambilan'!V116,'Pelan Pengambilan'!X116,'Pelan Pengambilan'!Z116,'Pelan Pengambilan'!AB116,'Pelan Pengambilan'!AD116)),"")</f>
        <v/>
      </c>
      <c r="F226" s="157" t="str">
        <f>IFERROR(IF('Pelan Pengambilan'!G116="","",'Pelan Pengambilan'!G116),"")</f>
        <v/>
      </c>
      <c r="G226" s="158"/>
      <c r="H226" s="158"/>
      <c r="I226" s="158"/>
      <c r="J226" s="158"/>
      <c r="K226" s="158"/>
      <c r="L226" s="158"/>
      <c r="M226" s="158"/>
      <c r="N226" s="158"/>
      <c r="O226" s="158"/>
      <c r="P226" s="158"/>
      <c r="Q226" s="158"/>
      <c r="R226" s="158"/>
      <c r="S226" s="158"/>
      <c r="T226" s="158"/>
      <c r="U226" s="158"/>
      <c r="V226" s="158"/>
      <c r="W226" s="158"/>
      <c r="X226" s="158"/>
      <c r="Y226" s="158"/>
      <c r="Z226" s="158"/>
      <c r="AA226" s="158"/>
      <c r="AB226" s="158"/>
      <c r="AC226" s="158"/>
      <c r="AD226" s="158"/>
      <c r="AE226" s="158"/>
      <c r="AF226" s="158"/>
      <c r="AG226" s="158"/>
      <c r="AH226" s="158"/>
      <c r="AI226" s="158"/>
      <c r="AJ226" s="158"/>
      <c r="AK226" s="158"/>
      <c r="AL226" s="158"/>
      <c r="AM226" s="158"/>
      <c r="AN226" s="158"/>
      <c r="AO226" s="158"/>
      <c r="AP226" s="158"/>
      <c r="AQ226" s="158"/>
      <c r="AR226" s="158"/>
      <c r="AS226" s="158"/>
      <c r="AT226" s="158"/>
      <c r="AU226" s="158"/>
      <c r="AV226" s="158"/>
      <c r="AW226" s="158"/>
      <c r="AX226" s="158"/>
      <c r="AY226" s="158"/>
      <c r="AZ226" s="158"/>
      <c r="BA226" s="158"/>
      <c r="BB226" s="158"/>
      <c r="BC226" s="158"/>
      <c r="BD226" s="158"/>
      <c r="BE226" s="158"/>
      <c r="BF226" s="158"/>
      <c r="BG226" s="158"/>
      <c r="BH226" s="158"/>
      <c r="BI226" s="158"/>
      <c r="BJ226" s="158"/>
      <c r="BK226" s="158"/>
      <c r="BL226" s="158"/>
      <c r="BM226" s="158"/>
      <c r="BN226" s="158"/>
      <c r="BO226" s="158"/>
      <c r="BP226" s="158"/>
      <c r="BQ226" s="158"/>
      <c r="BR226" s="158"/>
      <c r="BS226" s="158"/>
      <c r="BT226" s="158"/>
      <c r="BU226" s="158"/>
      <c r="BV226" s="158"/>
      <c r="BW226" s="158"/>
      <c r="BX226" s="158"/>
      <c r="BY226" s="158"/>
      <c r="BZ226" s="158"/>
      <c r="CA226" s="158"/>
      <c r="CB226" s="158"/>
      <c r="CC226" s="158"/>
      <c r="CD226" s="158"/>
      <c r="CE226" s="158"/>
      <c r="CF226" s="158"/>
      <c r="CG226" s="158"/>
      <c r="CH226" s="158"/>
      <c r="CI226" s="158"/>
      <c r="CJ226" s="158"/>
      <c r="CK226" s="158"/>
      <c r="CL226" s="158"/>
      <c r="CM226" s="158"/>
      <c r="CN226" s="158"/>
      <c r="CO226" s="158"/>
      <c r="CP226" s="158"/>
      <c r="CQ226" s="158"/>
      <c r="CR226" s="158"/>
      <c r="CS226" s="158"/>
      <c r="CT226" s="158"/>
      <c r="CU226" s="158"/>
      <c r="CV226" s="158"/>
      <c r="CW226" s="158"/>
      <c r="CX226" s="158"/>
      <c r="CY226" s="158"/>
      <c r="CZ226" s="158"/>
      <c r="DA226" s="158"/>
      <c r="DB226" s="158"/>
      <c r="DC226" s="158"/>
      <c r="DD226" s="158"/>
      <c r="DE226" s="158"/>
      <c r="DF226" s="158"/>
      <c r="DG226" s="158"/>
      <c r="DH226" s="154" t="str">
        <f>'Pelan Pengambilan'!AF116</f>
        <v/>
      </c>
      <c r="DI226" s="154"/>
      <c r="DJ226" s="3">
        <f>IFERROR(MIN('Pelan Pengambilan'!H116,'Pelan Pengambilan'!J116,'Pelan Pengambilan'!L116,'Pelan Pengambilan'!N116,'Pelan Pengambilan'!P116,'Pelan Pengambilan'!R116,'Pelan Pengambilan'!T116,'Pelan Pengambilan'!V116,'Pelan Pengambilan'!X116,'Pelan Pengambilan'!Z116,'Pelan Pengambilan'!AB116,'Pelan Pengambilan'!AD116),"")</f>
        <v>0</v>
      </c>
      <c r="DK226" s="3">
        <f>IFERROR(MAX('Pelan Pengambilan'!H116,'Pelan Pengambilan'!J116,'Pelan Pengambilan'!L116,'Pelan Pengambilan'!N116,'Pelan Pengambilan'!P116,'Pelan Pengambilan'!R116,'Pelan Pengambilan'!T116,'Pelan Pengambilan'!V116,'Pelan Pengambilan'!X116,'Pelan Pengambilan'!Z116,'Pelan Pengambilan'!AB116,'Pelan Pengambilan'!AD116),"")</f>
        <v>0</v>
      </c>
      <c r="DL226" s="3">
        <f>IFERROR(MIN('Pelan Pengambilan'!I116,'Pelan Pengambilan'!K116,'Pelan Pengambilan'!M116,'Pelan Pengambilan'!O116,'Pelan Pengambilan'!Q116,'Pelan Pengambilan'!S116,'Pelan Pengambilan'!U116,'Pelan Pengambilan'!W116,'Pelan Pengambilan'!Y116,'Pelan Pengambilan'!AA116,'Pelan Pengambilan'!AC116,'Pelan Pengambilan'!AE116),"")</f>
        <v>0</v>
      </c>
      <c r="DM226" s="3">
        <f>IFERROR(MAX('Pelan Pengambilan'!I116,'Pelan Pengambilan'!K116,'Pelan Pengambilan'!M116,'Pelan Pengambilan'!O116,'Pelan Pengambilan'!Q116,'Pelan Pengambilan'!S116,'Pelan Pengambilan'!U116,'Pelan Pengambilan'!W116,'Pelan Pengambilan'!Y116,'Pelan Pengambilan'!AA116,'Pelan Pengambilan'!AC116,'Pelan Pengambilan'!AE116),"")</f>
        <v>0</v>
      </c>
    </row>
    <row r="227" ht="19.5" customHeight="1">
      <c r="A227" s="41"/>
      <c r="B227" s="41"/>
      <c r="C227" s="41"/>
      <c r="D227" s="155" t="s">
        <v>276</v>
      </c>
      <c r="E227" s="41"/>
      <c r="F227" s="41"/>
      <c r="G227" s="158"/>
      <c r="H227" s="158"/>
      <c r="I227" s="158"/>
      <c r="J227" s="158"/>
      <c r="K227" s="158"/>
      <c r="L227" s="158"/>
      <c r="M227" s="158"/>
      <c r="N227" s="158"/>
      <c r="O227" s="158"/>
      <c r="P227" s="158"/>
      <c r="Q227" s="158"/>
      <c r="R227" s="158"/>
      <c r="S227" s="158"/>
      <c r="T227" s="158"/>
      <c r="U227" s="158"/>
      <c r="V227" s="158"/>
      <c r="W227" s="158"/>
      <c r="X227" s="158"/>
      <c r="Y227" s="158"/>
      <c r="Z227" s="158"/>
      <c r="AA227" s="158"/>
      <c r="AB227" s="158"/>
      <c r="AC227" s="158"/>
      <c r="AD227" s="158"/>
      <c r="AE227" s="158"/>
      <c r="AF227" s="158"/>
      <c r="AG227" s="158"/>
      <c r="AH227" s="158"/>
      <c r="AI227" s="158"/>
      <c r="AJ227" s="158"/>
      <c r="AK227" s="158"/>
      <c r="AL227" s="158"/>
      <c r="AM227" s="158"/>
      <c r="AN227" s="158"/>
      <c r="AO227" s="158"/>
      <c r="AP227" s="158"/>
      <c r="AQ227" s="158"/>
      <c r="AR227" s="158"/>
      <c r="AS227" s="158"/>
      <c r="AT227" s="158"/>
      <c r="AU227" s="158"/>
      <c r="AV227" s="158"/>
      <c r="AW227" s="158"/>
      <c r="AX227" s="158"/>
      <c r="AY227" s="158"/>
      <c r="AZ227" s="158"/>
      <c r="BA227" s="158"/>
      <c r="BB227" s="158"/>
      <c r="BC227" s="158"/>
      <c r="BD227" s="158"/>
      <c r="BE227" s="158"/>
      <c r="BF227" s="158"/>
      <c r="BG227" s="158"/>
      <c r="BH227" s="158"/>
      <c r="BI227" s="158"/>
      <c r="BJ227" s="158"/>
      <c r="BK227" s="158"/>
      <c r="BL227" s="158"/>
      <c r="BM227" s="158"/>
      <c r="BN227" s="158"/>
      <c r="BO227" s="158"/>
      <c r="BP227" s="158"/>
      <c r="BQ227" s="158"/>
      <c r="BR227" s="158"/>
      <c r="BS227" s="158"/>
      <c r="BT227" s="158"/>
      <c r="BU227" s="158"/>
      <c r="BV227" s="158"/>
      <c r="BW227" s="158"/>
      <c r="BX227" s="158"/>
      <c r="BY227" s="158"/>
      <c r="BZ227" s="158"/>
      <c r="CA227" s="158"/>
      <c r="CB227" s="158"/>
      <c r="CC227" s="158"/>
      <c r="CD227" s="158"/>
      <c r="CE227" s="158"/>
      <c r="CF227" s="158"/>
      <c r="CG227" s="158"/>
      <c r="CH227" s="158"/>
      <c r="CI227" s="158"/>
      <c r="CJ227" s="158"/>
      <c r="CK227" s="158"/>
      <c r="CL227" s="158"/>
      <c r="CM227" s="158"/>
      <c r="CN227" s="158"/>
      <c r="CO227" s="158"/>
      <c r="CP227" s="158"/>
      <c r="CQ227" s="158"/>
      <c r="CR227" s="158"/>
      <c r="CS227" s="158"/>
      <c r="CT227" s="158"/>
      <c r="CU227" s="158"/>
      <c r="CV227" s="158"/>
      <c r="CW227" s="158"/>
      <c r="CX227" s="158"/>
      <c r="CY227" s="158"/>
      <c r="CZ227" s="158"/>
      <c r="DA227" s="158"/>
      <c r="DB227" s="158"/>
      <c r="DC227" s="158"/>
      <c r="DD227" s="158"/>
      <c r="DE227" s="158"/>
      <c r="DF227" s="158"/>
      <c r="DG227" s="158"/>
      <c r="DH227" s="41"/>
      <c r="DI227" s="41"/>
      <c r="DJ227" s="3"/>
      <c r="DK227" s="3"/>
      <c r="DL227" s="3"/>
      <c r="DM227" s="3"/>
    </row>
    <row r="228" ht="19.5" customHeight="1">
      <c r="A228" s="153" t="str">
        <f>'Pelan Pengambilan'!B117</f>
        <v/>
      </c>
      <c r="B228" s="154" t="str">
        <f>'Pelan Pengambilan'!C117</f>
        <v/>
      </c>
      <c r="C228" s="153" t="str">
        <f t="array" ref="C228">IFERROR(IF(INDEX(Strategi!$F$5:$F$134,MATCH(LARGE(Strategi!$K$5:$K$134,112),Strategi!$K$5:$K$134,0))="","","("&amp;COUNTIFS('Pelan Pengambilan'!$B$6:$B$117,'Pelan Pengambilan'!$B117,'Pelan Pengambilan'!$C$6:$C$117,'Pelan Pengambilan'!$C117)&amp;") "&amp;INDEX(Strategi!$F$5:$F$134,MATCH(LARGE(Strategi!$K$5:$K$134,112),Strategi!$K$5:$K$134,0))),"")</f>
        <v/>
      </c>
      <c r="D228" s="155" t="s">
        <v>275</v>
      </c>
      <c r="E228" s="156" t="str">
        <f>IFERROR(IF(COUNT('Pelan Pengambilan'!H117,'Pelan Pengambilan'!J117,'Pelan Pengambilan'!L117,'Pelan Pengambilan'!N117,'Pelan Pengambilan'!P117,'Pelan Pengambilan'!R117,'Pelan Pengambilan'!T117,'Pelan Pengambilan'!V117,'Pelan Pengambilan'!X117,'Pelan Pengambilan'!Z117,'Pelan Pengambilan'!AB117,'Pelan Pengambilan'!AD117)=0,"",COUNT('Pelan Pengambilan'!I117,'Pelan Pengambilan'!K117,'Pelan Pengambilan'!M117,'Pelan Pengambilan'!O117,'Pelan Pengambilan'!Q117,'Pelan Pengambilan'!S117,'Pelan Pengambilan'!U117,'Pelan Pengambilan'!W117,'Pelan Pengambilan'!Y117,'Pelan Pengambilan'!AA117,'Pelan Pengambilan'!AC117,'Pelan Pengambilan'!AE117)/COUNT('Pelan Pengambilan'!H117,'Pelan Pengambilan'!J117,'Pelan Pengambilan'!L117,'Pelan Pengambilan'!N117,'Pelan Pengambilan'!P117,'Pelan Pengambilan'!R117,'Pelan Pengambilan'!T117,'Pelan Pengambilan'!V117,'Pelan Pengambilan'!X117,'Pelan Pengambilan'!Z117,'Pelan Pengambilan'!AB117,'Pelan Pengambilan'!AD117)),"")</f>
        <v/>
      </c>
      <c r="F228" s="157" t="str">
        <f>IFERROR(IF('Pelan Pengambilan'!G117="","",'Pelan Pengambilan'!G117),"")</f>
        <v/>
      </c>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8"/>
      <c r="AY228" s="158"/>
      <c r="AZ228" s="158"/>
      <c r="BA228" s="158"/>
      <c r="BB228" s="158"/>
      <c r="BC228" s="158"/>
      <c r="BD228" s="158"/>
      <c r="BE228" s="158"/>
      <c r="BF228" s="158"/>
      <c r="BG228" s="158"/>
      <c r="BH228" s="158"/>
      <c r="BI228" s="158"/>
      <c r="BJ228" s="158"/>
      <c r="BK228" s="158"/>
      <c r="BL228" s="158"/>
      <c r="BM228" s="158"/>
      <c r="BN228" s="158"/>
      <c r="BO228" s="158"/>
      <c r="BP228" s="158"/>
      <c r="BQ228" s="158"/>
      <c r="BR228" s="158"/>
      <c r="BS228" s="158"/>
      <c r="BT228" s="158"/>
      <c r="BU228" s="158"/>
      <c r="BV228" s="158"/>
      <c r="BW228" s="158"/>
      <c r="BX228" s="158"/>
      <c r="BY228" s="158"/>
      <c r="BZ228" s="158"/>
      <c r="CA228" s="158"/>
      <c r="CB228" s="158"/>
      <c r="CC228" s="158"/>
      <c r="CD228" s="158"/>
      <c r="CE228" s="158"/>
      <c r="CF228" s="158"/>
      <c r="CG228" s="158"/>
      <c r="CH228" s="158"/>
      <c r="CI228" s="158"/>
      <c r="CJ228" s="158"/>
      <c r="CK228" s="158"/>
      <c r="CL228" s="158"/>
      <c r="CM228" s="158"/>
      <c r="CN228" s="158"/>
      <c r="CO228" s="158"/>
      <c r="CP228" s="158"/>
      <c r="CQ228" s="158"/>
      <c r="CR228" s="158"/>
      <c r="CS228" s="158"/>
      <c r="CT228" s="158"/>
      <c r="CU228" s="158"/>
      <c r="CV228" s="158"/>
      <c r="CW228" s="158"/>
      <c r="CX228" s="158"/>
      <c r="CY228" s="158"/>
      <c r="CZ228" s="158"/>
      <c r="DA228" s="158"/>
      <c r="DB228" s="158"/>
      <c r="DC228" s="158"/>
      <c r="DD228" s="158"/>
      <c r="DE228" s="158"/>
      <c r="DF228" s="158"/>
      <c r="DG228" s="158"/>
      <c r="DH228" s="154" t="str">
        <f>'Pelan Pengambilan'!AF117</f>
        <v/>
      </c>
      <c r="DI228" s="154"/>
      <c r="DJ228" s="3">
        <f>IFERROR(MIN('Pelan Pengambilan'!H117,'Pelan Pengambilan'!J117,'Pelan Pengambilan'!L117,'Pelan Pengambilan'!N117,'Pelan Pengambilan'!P117,'Pelan Pengambilan'!R117,'Pelan Pengambilan'!T117,'Pelan Pengambilan'!V117,'Pelan Pengambilan'!X117,'Pelan Pengambilan'!Z117,'Pelan Pengambilan'!AB117,'Pelan Pengambilan'!AD117),"")</f>
        <v>0</v>
      </c>
      <c r="DK228" s="3">
        <f>IFERROR(MAX('Pelan Pengambilan'!H117,'Pelan Pengambilan'!J117,'Pelan Pengambilan'!L117,'Pelan Pengambilan'!N117,'Pelan Pengambilan'!P117,'Pelan Pengambilan'!R117,'Pelan Pengambilan'!T117,'Pelan Pengambilan'!V117,'Pelan Pengambilan'!X117,'Pelan Pengambilan'!Z117,'Pelan Pengambilan'!AB117,'Pelan Pengambilan'!AD117),"")</f>
        <v>0</v>
      </c>
      <c r="DL228" s="3">
        <f>IFERROR(MIN('Pelan Pengambilan'!I117,'Pelan Pengambilan'!K117,'Pelan Pengambilan'!M117,'Pelan Pengambilan'!O117,'Pelan Pengambilan'!Q117,'Pelan Pengambilan'!S117,'Pelan Pengambilan'!U117,'Pelan Pengambilan'!W117,'Pelan Pengambilan'!Y117,'Pelan Pengambilan'!AA117,'Pelan Pengambilan'!AC117,'Pelan Pengambilan'!AE117),"")</f>
        <v>0</v>
      </c>
      <c r="DM228" s="3">
        <f>IFERROR(MAX('Pelan Pengambilan'!I117,'Pelan Pengambilan'!K117,'Pelan Pengambilan'!M117,'Pelan Pengambilan'!O117,'Pelan Pengambilan'!Q117,'Pelan Pengambilan'!S117,'Pelan Pengambilan'!U117,'Pelan Pengambilan'!W117,'Pelan Pengambilan'!Y117,'Pelan Pengambilan'!AA117,'Pelan Pengambilan'!AC117,'Pelan Pengambilan'!AE117),"")</f>
        <v>0</v>
      </c>
    </row>
    <row r="229" ht="19.5" customHeight="1">
      <c r="A229" s="41"/>
      <c r="B229" s="41"/>
      <c r="C229" s="41"/>
      <c r="D229" s="155" t="s">
        <v>276</v>
      </c>
      <c r="E229" s="41"/>
      <c r="F229" s="41"/>
      <c r="G229" s="158"/>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c r="CD229" s="158"/>
      <c r="CE229" s="158"/>
      <c r="CF229" s="158"/>
      <c r="CG229" s="158"/>
      <c r="CH229" s="158"/>
      <c r="CI229" s="158"/>
      <c r="CJ229" s="158"/>
      <c r="CK229" s="158"/>
      <c r="CL229" s="158"/>
      <c r="CM229" s="158"/>
      <c r="CN229" s="158"/>
      <c r="CO229" s="158"/>
      <c r="CP229" s="158"/>
      <c r="CQ229" s="158"/>
      <c r="CR229" s="158"/>
      <c r="CS229" s="158"/>
      <c r="CT229" s="158"/>
      <c r="CU229" s="158"/>
      <c r="CV229" s="158"/>
      <c r="CW229" s="158"/>
      <c r="CX229" s="158"/>
      <c r="CY229" s="158"/>
      <c r="CZ229" s="158"/>
      <c r="DA229" s="158"/>
      <c r="DB229" s="158"/>
      <c r="DC229" s="158"/>
      <c r="DD229" s="158"/>
      <c r="DE229" s="158"/>
      <c r="DF229" s="158"/>
      <c r="DG229" s="158"/>
      <c r="DH229" s="41"/>
      <c r="DI229" s="41"/>
      <c r="DJ229" s="3"/>
      <c r="DK229" s="3"/>
      <c r="DL229" s="3"/>
      <c r="DM229" s="3"/>
    </row>
    <row r="230" ht="19.5" customHeight="1">
      <c r="A230" s="153" t="str">
        <f>'Pelan Pengambilan'!B118</f>
        <v/>
      </c>
      <c r="B230" s="154" t="str">
        <f>'Pelan Pengambilan'!C118</f>
        <v/>
      </c>
      <c r="C230" s="153" t="str">
        <f t="array" ref="C230">IFERROR(IF(INDEX(Strategi!$F$5:$F$134,MATCH(LARGE(Strategi!$K$5:$K$134,113),Strategi!$K$5:$K$134,0))="","","("&amp;COUNTIFS('Pelan Pengambilan'!$B$6:$B$118,'Pelan Pengambilan'!$B118,'Pelan Pengambilan'!$C$6:$C$118,'Pelan Pengambilan'!$C118)&amp;") "&amp;INDEX(Strategi!$F$5:$F$134,MATCH(LARGE(Strategi!$K$5:$K$134,113),Strategi!$K$5:$K$134,0))),"")</f>
        <v/>
      </c>
      <c r="D230" s="155" t="s">
        <v>275</v>
      </c>
      <c r="E230" s="156" t="str">
        <f>IFERROR(IF(COUNT('Pelan Pengambilan'!H118,'Pelan Pengambilan'!J118,'Pelan Pengambilan'!L118,'Pelan Pengambilan'!N118,'Pelan Pengambilan'!P118,'Pelan Pengambilan'!R118,'Pelan Pengambilan'!T118,'Pelan Pengambilan'!V118,'Pelan Pengambilan'!X118,'Pelan Pengambilan'!Z118,'Pelan Pengambilan'!AB118,'Pelan Pengambilan'!AD118)=0,"",COUNT('Pelan Pengambilan'!I118,'Pelan Pengambilan'!K118,'Pelan Pengambilan'!M118,'Pelan Pengambilan'!O118,'Pelan Pengambilan'!Q118,'Pelan Pengambilan'!S118,'Pelan Pengambilan'!U118,'Pelan Pengambilan'!W118,'Pelan Pengambilan'!Y118,'Pelan Pengambilan'!AA118,'Pelan Pengambilan'!AC118,'Pelan Pengambilan'!AE118)/COUNT('Pelan Pengambilan'!H118,'Pelan Pengambilan'!J118,'Pelan Pengambilan'!L118,'Pelan Pengambilan'!N118,'Pelan Pengambilan'!P118,'Pelan Pengambilan'!R118,'Pelan Pengambilan'!T118,'Pelan Pengambilan'!V118,'Pelan Pengambilan'!X118,'Pelan Pengambilan'!Z118,'Pelan Pengambilan'!AB118,'Pelan Pengambilan'!AD118)),"")</f>
        <v/>
      </c>
      <c r="F230" s="157" t="str">
        <f>IFERROR(IF('Pelan Pengambilan'!G118="","",'Pelan Pengambilan'!G118),"")</f>
        <v/>
      </c>
      <c r="G230" s="158"/>
      <c r="H230" s="158"/>
      <c r="I230" s="158"/>
      <c r="J230" s="158"/>
      <c r="K230" s="158"/>
      <c r="L230" s="158"/>
      <c r="M230" s="158"/>
      <c r="N230" s="158"/>
      <c r="O230" s="158"/>
      <c r="P230" s="158"/>
      <c r="Q230" s="158"/>
      <c r="R230" s="158"/>
      <c r="S230" s="158"/>
      <c r="T230" s="158"/>
      <c r="U230" s="158"/>
      <c r="V230" s="158"/>
      <c r="W230" s="158"/>
      <c r="X230" s="158"/>
      <c r="Y230" s="158"/>
      <c r="Z230" s="158"/>
      <c r="AA230" s="158"/>
      <c r="AB230" s="158"/>
      <c r="AC230" s="158"/>
      <c r="AD230" s="158"/>
      <c r="AE230" s="158"/>
      <c r="AF230" s="158"/>
      <c r="AG230" s="158"/>
      <c r="AH230" s="158"/>
      <c r="AI230" s="158"/>
      <c r="AJ230" s="158"/>
      <c r="AK230" s="158"/>
      <c r="AL230" s="158"/>
      <c r="AM230" s="158"/>
      <c r="AN230" s="158"/>
      <c r="AO230" s="158"/>
      <c r="AP230" s="158"/>
      <c r="AQ230" s="158"/>
      <c r="AR230" s="158"/>
      <c r="AS230" s="158"/>
      <c r="AT230" s="158"/>
      <c r="AU230" s="158"/>
      <c r="AV230" s="158"/>
      <c r="AW230" s="158"/>
      <c r="AX230" s="158"/>
      <c r="AY230" s="158"/>
      <c r="AZ230" s="158"/>
      <c r="BA230" s="158"/>
      <c r="BB230" s="158"/>
      <c r="BC230" s="158"/>
      <c r="BD230" s="158"/>
      <c r="BE230" s="158"/>
      <c r="BF230" s="158"/>
      <c r="BG230" s="158"/>
      <c r="BH230" s="158"/>
      <c r="BI230" s="158"/>
      <c r="BJ230" s="158"/>
      <c r="BK230" s="158"/>
      <c r="BL230" s="158"/>
      <c r="BM230" s="158"/>
      <c r="BN230" s="158"/>
      <c r="BO230" s="158"/>
      <c r="BP230" s="158"/>
      <c r="BQ230" s="158"/>
      <c r="BR230" s="158"/>
      <c r="BS230" s="158"/>
      <c r="BT230" s="158"/>
      <c r="BU230" s="158"/>
      <c r="BV230" s="158"/>
      <c r="BW230" s="158"/>
      <c r="BX230" s="158"/>
      <c r="BY230" s="158"/>
      <c r="BZ230" s="158"/>
      <c r="CA230" s="158"/>
      <c r="CB230" s="158"/>
      <c r="CC230" s="158"/>
      <c r="CD230" s="158"/>
      <c r="CE230" s="158"/>
      <c r="CF230" s="158"/>
      <c r="CG230" s="158"/>
      <c r="CH230" s="158"/>
      <c r="CI230" s="158"/>
      <c r="CJ230" s="158"/>
      <c r="CK230" s="158"/>
      <c r="CL230" s="158"/>
      <c r="CM230" s="158"/>
      <c r="CN230" s="158"/>
      <c r="CO230" s="158"/>
      <c r="CP230" s="158"/>
      <c r="CQ230" s="158"/>
      <c r="CR230" s="158"/>
      <c r="CS230" s="158"/>
      <c r="CT230" s="158"/>
      <c r="CU230" s="158"/>
      <c r="CV230" s="158"/>
      <c r="CW230" s="158"/>
      <c r="CX230" s="158"/>
      <c r="CY230" s="158"/>
      <c r="CZ230" s="158"/>
      <c r="DA230" s="158"/>
      <c r="DB230" s="158"/>
      <c r="DC230" s="158"/>
      <c r="DD230" s="158"/>
      <c r="DE230" s="158"/>
      <c r="DF230" s="158"/>
      <c r="DG230" s="158"/>
      <c r="DH230" s="154" t="str">
        <f>'Pelan Pengambilan'!AF118</f>
        <v/>
      </c>
      <c r="DI230" s="154"/>
      <c r="DJ230" s="3">
        <f>IFERROR(MIN('Pelan Pengambilan'!H118,'Pelan Pengambilan'!J118,'Pelan Pengambilan'!L118,'Pelan Pengambilan'!N118,'Pelan Pengambilan'!P118,'Pelan Pengambilan'!R118,'Pelan Pengambilan'!T118,'Pelan Pengambilan'!V118,'Pelan Pengambilan'!X118,'Pelan Pengambilan'!Z118,'Pelan Pengambilan'!AB118,'Pelan Pengambilan'!AD118),"")</f>
        <v>0</v>
      </c>
      <c r="DK230" s="3">
        <f>IFERROR(MAX('Pelan Pengambilan'!H118,'Pelan Pengambilan'!J118,'Pelan Pengambilan'!L118,'Pelan Pengambilan'!N118,'Pelan Pengambilan'!P118,'Pelan Pengambilan'!R118,'Pelan Pengambilan'!T118,'Pelan Pengambilan'!V118,'Pelan Pengambilan'!X118,'Pelan Pengambilan'!Z118,'Pelan Pengambilan'!AB118,'Pelan Pengambilan'!AD118),"")</f>
        <v>0</v>
      </c>
      <c r="DL230" s="3">
        <f>IFERROR(MIN('Pelan Pengambilan'!I118,'Pelan Pengambilan'!K118,'Pelan Pengambilan'!M118,'Pelan Pengambilan'!O118,'Pelan Pengambilan'!Q118,'Pelan Pengambilan'!S118,'Pelan Pengambilan'!U118,'Pelan Pengambilan'!W118,'Pelan Pengambilan'!Y118,'Pelan Pengambilan'!AA118,'Pelan Pengambilan'!AC118,'Pelan Pengambilan'!AE118),"")</f>
        <v>0</v>
      </c>
      <c r="DM230" s="3">
        <f>IFERROR(MAX('Pelan Pengambilan'!I118,'Pelan Pengambilan'!K118,'Pelan Pengambilan'!M118,'Pelan Pengambilan'!O118,'Pelan Pengambilan'!Q118,'Pelan Pengambilan'!S118,'Pelan Pengambilan'!U118,'Pelan Pengambilan'!W118,'Pelan Pengambilan'!Y118,'Pelan Pengambilan'!AA118,'Pelan Pengambilan'!AC118,'Pelan Pengambilan'!AE118),"")</f>
        <v>0</v>
      </c>
    </row>
    <row r="231" ht="19.5" customHeight="1">
      <c r="A231" s="41"/>
      <c r="B231" s="41"/>
      <c r="C231" s="41"/>
      <c r="D231" s="155" t="s">
        <v>276</v>
      </c>
      <c r="E231" s="41"/>
      <c r="F231" s="41"/>
      <c r="G231" s="158"/>
      <c r="H231" s="158"/>
      <c r="I231" s="158"/>
      <c r="J231" s="158"/>
      <c r="K231" s="158"/>
      <c r="L231" s="158"/>
      <c r="M231" s="158"/>
      <c r="N231" s="158"/>
      <c r="O231" s="158"/>
      <c r="P231" s="158"/>
      <c r="Q231" s="158"/>
      <c r="R231" s="158"/>
      <c r="S231" s="158"/>
      <c r="T231" s="158"/>
      <c r="U231" s="158"/>
      <c r="V231" s="158"/>
      <c r="W231" s="158"/>
      <c r="X231" s="158"/>
      <c r="Y231" s="158"/>
      <c r="Z231" s="158"/>
      <c r="AA231" s="158"/>
      <c r="AB231" s="158"/>
      <c r="AC231" s="158"/>
      <c r="AD231" s="158"/>
      <c r="AE231" s="158"/>
      <c r="AF231" s="158"/>
      <c r="AG231" s="158"/>
      <c r="AH231" s="158"/>
      <c r="AI231" s="158"/>
      <c r="AJ231" s="158"/>
      <c r="AK231" s="158"/>
      <c r="AL231" s="158"/>
      <c r="AM231" s="158"/>
      <c r="AN231" s="158"/>
      <c r="AO231" s="158"/>
      <c r="AP231" s="158"/>
      <c r="AQ231" s="158"/>
      <c r="AR231" s="158"/>
      <c r="AS231" s="158"/>
      <c r="AT231" s="158"/>
      <c r="AU231" s="158"/>
      <c r="AV231" s="158"/>
      <c r="AW231" s="158"/>
      <c r="AX231" s="158"/>
      <c r="AY231" s="158"/>
      <c r="AZ231" s="158"/>
      <c r="BA231" s="158"/>
      <c r="BB231" s="158"/>
      <c r="BC231" s="158"/>
      <c r="BD231" s="158"/>
      <c r="BE231" s="158"/>
      <c r="BF231" s="158"/>
      <c r="BG231" s="158"/>
      <c r="BH231" s="158"/>
      <c r="BI231" s="158"/>
      <c r="BJ231" s="158"/>
      <c r="BK231" s="158"/>
      <c r="BL231" s="158"/>
      <c r="BM231" s="158"/>
      <c r="BN231" s="158"/>
      <c r="BO231" s="158"/>
      <c r="BP231" s="158"/>
      <c r="BQ231" s="158"/>
      <c r="BR231" s="158"/>
      <c r="BS231" s="158"/>
      <c r="BT231" s="158"/>
      <c r="BU231" s="158"/>
      <c r="BV231" s="158"/>
      <c r="BW231" s="158"/>
      <c r="BX231" s="158"/>
      <c r="BY231" s="158"/>
      <c r="BZ231" s="158"/>
      <c r="CA231" s="158"/>
      <c r="CB231" s="158"/>
      <c r="CC231" s="158"/>
      <c r="CD231" s="158"/>
      <c r="CE231" s="158"/>
      <c r="CF231" s="158"/>
      <c r="CG231" s="158"/>
      <c r="CH231" s="158"/>
      <c r="CI231" s="158"/>
      <c r="CJ231" s="158"/>
      <c r="CK231" s="158"/>
      <c r="CL231" s="158"/>
      <c r="CM231" s="158"/>
      <c r="CN231" s="158"/>
      <c r="CO231" s="158"/>
      <c r="CP231" s="158"/>
      <c r="CQ231" s="158"/>
      <c r="CR231" s="158"/>
      <c r="CS231" s="158"/>
      <c r="CT231" s="158"/>
      <c r="CU231" s="158"/>
      <c r="CV231" s="158"/>
      <c r="CW231" s="158"/>
      <c r="CX231" s="158"/>
      <c r="CY231" s="158"/>
      <c r="CZ231" s="158"/>
      <c r="DA231" s="158"/>
      <c r="DB231" s="158"/>
      <c r="DC231" s="158"/>
      <c r="DD231" s="158"/>
      <c r="DE231" s="158"/>
      <c r="DF231" s="158"/>
      <c r="DG231" s="158"/>
      <c r="DH231" s="41"/>
      <c r="DI231" s="41"/>
      <c r="DJ231" s="3"/>
      <c r="DK231" s="3"/>
      <c r="DL231" s="3"/>
      <c r="DM231" s="3"/>
    </row>
    <row r="232" ht="19.5" customHeight="1">
      <c r="A232" s="153" t="str">
        <f>'Pelan Pengambilan'!B119</f>
        <v/>
      </c>
      <c r="B232" s="154" t="str">
        <f>'Pelan Pengambilan'!C119</f>
        <v/>
      </c>
      <c r="C232" s="153" t="str">
        <f t="array" ref="C232">IFERROR(IF(INDEX(Strategi!$F$5:$F$134,MATCH(LARGE(Strategi!$K$5:$K$134,114),Strategi!$K$5:$K$134,0))="","","("&amp;COUNTIFS('Pelan Pengambilan'!$B$6:$B$119,'Pelan Pengambilan'!$B119,'Pelan Pengambilan'!$C$6:$C$119,'Pelan Pengambilan'!$C119)&amp;") "&amp;INDEX(Strategi!$F$5:$F$134,MATCH(LARGE(Strategi!$K$5:$K$134,114),Strategi!$K$5:$K$134,0))),"")</f>
        <v/>
      </c>
      <c r="D232" s="155" t="s">
        <v>275</v>
      </c>
      <c r="E232" s="156" t="str">
        <f>IFERROR(IF(COUNT('Pelan Pengambilan'!H119,'Pelan Pengambilan'!J119,'Pelan Pengambilan'!L119,'Pelan Pengambilan'!N119,'Pelan Pengambilan'!P119,'Pelan Pengambilan'!R119,'Pelan Pengambilan'!T119,'Pelan Pengambilan'!V119,'Pelan Pengambilan'!X119,'Pelan Pengambilan'!Z119,'Pelan Pengambilan'!AB119,'Pelan Pengambilan'!AD119)=0,"",COUNT('Pelan Pengambilan'!I119,'Pelan Pengambilan'!K119,'Pelan Pengambilan'!M119,'Pelan Pengambilan'!O119,'Pelan Pengambilan'!Q119,'Pelan Pengambilan'!S119,'Pelan Pengambilan'!U119,'Pelan Pengambilan'!W119,'Pelan Pengambilan'!Y119,'Pelan Pengambilan'!AA119,'Pelan Pengambilan'!AC119,'Pelan Pengambilan'!AE119)/COUNT('Pelan Pengambilan'!H119,'Pelan Pengambilan'!J119,'Pelan Pengambilan'!L119,'Pelan Pengambilan'!N119,'Pelan Pengambilan'!P119,'Pelan Pengambilan'!R119,'Pelan Pengambilan'!T119,'Pelan Pengambilan'!V119,'Pelan Pengambilan'!X119,'Pelan Pengambilan'!Z119,'Pelan Pengambilan'!AB119,'Pelan Pengambilan'!AD119)),"")</f>
        <v/>
      </c>
      <c r="F232" s="157" t="str">
        <f>IFERROR(IF('Pelan Pengambilan'!G119="","",'Pelan Pengambilan'!G119),"")</f>
        <v/>
      </c>
      <c r="G232" s="158"/>
      <c r="H232" s="158"/>
      <c r="I232" s="158"/>
      <c r="J232" s="158"/>
      <c r="K232" s="158"/>
      <c r="L232" s="158"/>
      <c r="M232" s="158"/>
      <c r="N232" s="158"/>
      <c r="O232" s="158"/>
      <c r="P232" s="158"/>
      <c r="Q232" s="158"/>
      <c r="R232" s="158"/>
      <c r="S232" s="158"/>
      <c r="T232" s="158"/>
      <c r="U232" s="158"/>
      <c r="V232" s="158"/>
      <c r="W232" s="158"/>
      <c r="X232" s="158"/>
      <c r="Y232" s="158"/>
      <c r="Z232" s="158"/>
      <c r="AA232" s="158"/>
      <c r="AB232" s="158"/>
      <c r="AC232" s="158"/>
      <c r="AD232" s="158"/>
      <c r="AE232" s="158"/>
      <c r="AF232" s="158"/>
      <c r="AG232" s="158"/>
      <c r="AH232" s="158"/>
      <c r="AI232" s="158"/>
      <c r="AJ232" s="158"/>
      <c r="AK232" s="158"/>
      <c r="AL232" s="158"/>
      <c r="AM232" s="158"/>
      <c r="AN232" s="158"/>
      <c r="AO232" s="158"/>
      <c r="AP232" s="158"/>
      <c r="AQ232" s="158"/>
      <c r="AR232" s="158"/>
      <c r="AS232" s="158"/>
      <c r="AT232" s="158"/>
      <c r="AU232" s="158"/>
      <c r="AV232" s="158"/>
      <c r="AW232" s="158"/>
      <c r="AX232" s="158"/>
      <c r="AY232" s="158"/>
      <c r="AZ232" s="158"/>
      <c r="BA232" s="158"/>
      <c r="BB232" s="158"/>
      <c r="BC232" s="158"/>
      <c r="BD232" s="158"/>
      <c r="BE232" s="158"/>
      <c r="BF232" s="158"/>
      <c r="BG232" s="158"/>
      <c r="BH232" s="158"/>
      <c r="BI232" s="158"/>
      <c r="BJ232" s="158"/>
      <c r="BK232" s="158"/>
      <c r="BL232" s="158"/>
      <c r="BM232" s="158"/>
      <c r="BN232" s="158"/>
      <c r="BO232" s="158"/>
      <c r="BP232" s="158"/>
      <c r="BQ232" s="158"/>
      <c r="BR232" s="158"/>
      <c r="BS232" s="158"/>
      <c r="BT232" s="158"/>
      <c r="BU232" s="158"/>
      <c r="BV232" s="158"/>
      <c r="BW232" s="158"/>
      <c r="BX232" s="158"/>
      <c r="BY232" s="158"/>
      <c r="BZ232" s="158"/>
      <c r="CA232" s="158"/>
      <c r="CB232" s="158"/>
      <c r="CC232" s="158"/>
      <c r="CD232" s="158"/>
      <c r="CE232" s="158"/>
      <c r="CF232" s="158"/>
      <c r="CG232" s="158"/>
      <c r="CH232" s="158"/>
      <c r="CI232" s="158"/>
      <c r="CJ232" s="158"/>
      <c r="CK232" s="158"/>
      <c r="CL232" s="158"/>
      <c r="CM232" s="158"/>
      <c r="CN232" s="158"/>
      <c r="CO232" s="158"/>
      <c r="CP232" s="158"/>
      <c r="CQ232" s="158"/>
      <c r="CR232" s="158"/>
      <c r="CS232" s="158"/>
      <c r="CT232" s="158"/>
      <c r="CU232" s="158"/>
      <c r="CV232" s="158"/>
      <c r="CW232" s="158"/>
      <c r="CX232" s="158"/>
      <c r="CY232" s="158"/>
      <c r="CZ232" s="158"/>
      <c r="DA232" s="158"/>
      <c r="DB232" s="158"/>
      <c r="DC232" s="158"/>
      <c r="DD232" s="158"/>
      <c r="DE232" s="158"/>
      <c r="DF232" s="158"/>
      <c r="DG232" s="158"/>
      <c r="DH232" s="154" t="str">
        <f>'Pelan Pengambilan'!AF119</f>
        <v/>
      </c>
      <c r="DI232" s="154"/>
      <c r="DJ232" s="3">
        <f>IFERROR(MIN('Pelan Pengambilan'!H119,'Pelan Pengambilan'!J119,'Pelan Pengambilan'!L119,'Pelan Pengambilan'!N119,'Pelan Pengambilan'!P119,'Pelan Pengambilan'!R119,'Pelan Pengambilan'!T119,'Pelan Pengambilan'!V119,'Pelan Pengambilan'!X119,'Pelan Pengambilan'!Z119,'Pelan Pengambilan'!AB119,'Pelan Pengambilan'!AD119),"")</f>
        <v>0</v>
      </c>
      <c r="DK232" s="3">
        <f>IFERROR(MAX('Pelan Pengambilan'!H119,'Pelan Pengambilan'!J119,'Pelan Pengambilan'!L119,'Pelan Pengambilan'!N119,'Pelan Pengambilan'!P119,'Pelan Pengambilan'!R119,'Pelan Pengambilan'!T119,'Pelan Pengambilan'!V119,'Pelan Pengambilan'!X119,'Pelan Pengambilan'!Z119,'Pelan Pengambilan'!AB119,'Pelan Pengambilan'!AD119),"")</f>
        <v>0</v>
      </c>
      <c r="DL232" s="3">
        <f>IFERROR(MIN('Pelan Pengambilan'!I119,'Pelan Pengambilan'!K119,'Pelan Pengambilan'!M119,'Pelan Pengambilan'!O119,'Pelan Pengambilan'!Q119,'Pelan Pengambilan'!S119,'Pelan Pengambilan'!U119,'Pelan Pengambilan'!W119,'Pelan Pengambilan'!Y119,'Pelan Pengambilan'!AA119,'Pelan Pengambilan'!AC119,'Pelan Pengambilan'!AE119),"")</f>
        <v>0</v>
      </c>
      <c r="DM232" s="3">
        <f>IFERROR(MAX('Pelan Pengambilan'!I119,'Pelan Pengambilan'!K119,'Pelan Pengambilan'!M119,'Pelan Pengambilan'!O119,'Pelan Pengambilan'!Q119,'Pelan Pengambilan'!S119,'Pelan Pengambilan'!U119,'Pelan Pengambilan'!W119,'Pelan Pengambilan'!Y119,'Pelan Pengambilan'!AA119,'Pelan Pengambilan'!AC119,'Pelan Pengambilan'!AE119),"")</f>
        <v>0</v>
      </c>
    </row>
    <row r="233" ht="19.5" customHeight="1">
      <c r="A233" s="41"/>
      <c r="B233" s="41"/>
      <c r="C233" s="41"/>
      <c r="D233" s="155" t="s">
        <v>276</v>
      </c>
      <c r="E233" s="41"/>
      <c r="F233" s="41"/>
      <c r="G233" s="158"/>
      <c r="H233" s="158"/>
      <c r="I233" s="158"/>
      <c r="J233" s="158"/>
      <c r="K233" s="158"/>
      <c r="L233" s="158"/>
      <c r="M233" s="158"/>
      <c r="N233" s="158"/>
      <c r="O233" s="158"/>
      <c r="P233" s="158"/>
      <c r="Q233" s="158"/>
      <c r="R233" s="158"/>
      <c r="S233" s="158"/>
      <c r="T233" s="158"/>
      <c r="U233" s="158"/>
      <c r="V233" s="158"/>
      <c r="W233" s="158"/>
      <c r="X233" s="158"/>
      <c r="Y233" s="158"/>
      <c r="Z233" s="158"/>
      <c r="AA233" s="158"/>
      <c r="AB233" s="158"/>
      <c r="AC233" s="158"/>
      <c r="AD233" s="158"/>
      <c r="AE233" s="158"/>
      <c r="AF233" s="158"/>
      <c r="AG233" s="158"/>
      <c r="AH233" s="158"/>
      <c r="AI233" s="158"/>
      <c r="AJ233" s="158"/>
      <c r="AK233" s="158"/>
      <c r="AL233" s="158"/>
      <c r="AM233" s="158"/>
      <c r="AN233" s="158"/>
      <c r="AO233" s="158"/>
      <c r="AP233" s="158"/>
      <c r="AQ233" s="158"/>
      <c r="AR233" s="158"/>
      <c r="AS233" s="158"/>
      <c r="AT233" s="158"/>
      <c r="AU233" s="158"/>
      <c r="AV233" s="158"/>
      <c r="AW233" s="158"/>
      <c r="AX233" s="158"/>
      <c r="AY233" s="158"/>
      <c r="AZ233" s="158"/>
      <c r="BA233" s="158"/>
      <c r="BB233" s="158"/>
      <c r="BC233" s="158"/>
      <c r="BD233" s="158"/>
      <c r="BE233" s="158"/>
      <c r="BF233" s="158"/>
      <c r="BG233" s="158"/>
      <c r="BH233" s="158"/>
      <c r="BI233" s="158"/>
      <c r="BJ233" s="158"/>
      <c r="BK233" s="158"/>
      <c r="BL233" s="158"/>
      <c r="BM233" s="158"/>
      <c r="BN233" s="158"/>
      <c r="BO233" s="158"/>
      <c r="BP233" s="158"/>
      <c r="BQ233" s="158"/>
      <c r="BR233" s="158"/>
      <c r="BS233" s="158"/>
      <c r="BT233" s="158"/>
      <c r="BU233" s="158"/>
      <c r="BV233" s="158"/>
      <c r="BW233" s="158"/>
      <c r="BX233" s="158"/>
      <c r="BY233" s="158"/>
      <c r="BZ233" s="158"/>
      <c r="CA233" s="158"/>
      <c r="CB233" s="158"/>
      <c r="CC233" s="158"/>
      <c r="CD233" s="158"/>
      <c r="CE233" s="158"/>
      <c r="CF233" s="158"/>
      <c r="CG233" s="158"/>
      <c r="CH233" s="158"/>
      <c r="CI233" s="158"/>
      <c r="CJ233" s="158"/>
      <c r="CK233" s="158"/>
      <c r="CL233" s="158"/>
      <c r="CM233" s="158"/>
      <c r="CN233" s="158"/>
      <c r="CO233" s="158"/>
      <c r="CP233" s="158"/>
      <c r="CQ233" s="158"/>
      <c r="CR233" s="158"/>
      <c r="CS233" s="158"/>
      <c r="CT233" s="158"/>
      <c r="CU233" s="158"/>
      <c r="CV233" s="158"/>
      <c r="CW233" s="158"/>
      <c r="CX233" s="158"/>
      <c r="CY233" s="158"/>
      <c r="CZ233" s="158"/>
      <c r="DA233" s="158"/>
      <c r="DB233" s="158"/>
      <c r="DC233" s="158"/>
      <c r="DD233" s="158"/>
      <c r="DE233" s="158"/>
      <c r="DF233" s="158"/>
      <c r="DG233" s="158"/>
      <c r="DH233" s="41"/>
      <c r="DI233" s="41"/>
      <c r="DJ233" s="3"/>
      <c r="DK233" s="3"/>
      <c r="DL233" s="3"/>
      <c r="DM233" s="3"/>
    </row>
    <row r="234" ht="19.5" customHeight="1">
      <c r="A234" s="153" t="str">
        <f>'Pelan Pengambilan'!B120</f>
        <v/>
      </c>
      <c r="B234" s="154" t="str">
        <f>'Pelan Pengambilan'!C120</f>
        <v/>
      </c>
      <c r="C234" s="153" t="str">
        <f t="array" ref="C234">IFERROR(IF(INDEX(Strategi!$F$5:$F$134,MATCH(LARGE(Strategi!$K$5:$K$134,115),Strategi!$K$5:$K$134,0))="","","("&amp;COUNTIFS('Pelan Pengambilan'!$B$6:$B$120,'Pelan Pengambilan'!$B120,'Pelan Pengambilan'!$C$6:$C$120,'Pelan Pengambilan'!$C120)&amp;") "&amp;INDEX(Strategi!$F$5:$F$134,MATCH(LARGE(Strategi!$K$5:$K$134,115),Strategi!$K$5:$K$134,0))),"")</f>
        <v/>
      </c>
      <c r="D234" s="155" t="s">
        <v>275</v>
      </c>
      <c r="E234" s="156" t="str">
        <f>IFERROR(IF(COUNT('Pelan Pengambilan'!H120,'Pelan Pengambilan'!J120,'Pelan Pengambilan'!L120,'Pelan Pengambilan'!N120,'Pelan Pengambilan'!P120,'Pelan Pengambilan'!R120,'Pelan Pengambilan'!T120,'Pelan Pengambilan'!V120,'Pelan Pengambilan'!X120,'Pelan Pengambilan'!Z120,'Pelan Pengambilan'!AB120,'Pelan Pengambilan'!AD120)=0,"",COUNT('Pelan Pengambilan'!I120,'Pelan Pengambilan'!K120,'Pelan Pengambilan'!M120,'Pelan Pengambilan'!O120,'Pelan Pengambilan'!Q120,'Pelan Pengambilan'!S120,'Pelan Pengambilan'!U120,'Pelan Pengambilan'!W120,'Pelan Pengambilan'!Y120,'Pelan Pengambilan'!AA120,'Pelan Pengambilan'!AC120,'Pelan Pengambilan'!AE120)/COUNT('Pelan Pengambilan'!H120,'Pelan Pengambilan'!J120,'Pelan Pengambilan'!L120,'Pelan Pengambilan'!N120,'Pelan Pengambilan'!P120,'Pelan Pengambilan'!R120,'Pelan Pengambilan'!T120,'Pelan Pengambilan'!V120,'Pelan Pengambilan'!X120,'Pelan Pengambilan'!Z120,'Pelan Pengambilan'!AB120,'Pelan Pengambilan'!AD120)),"")</f>
        <v/>
      </c>
      <c r="F234" s="157" t="str">
        <f>IFERROR(IF('Pelan Pengambilan'!G120="","",'Pelan Pengambilan'!G120),"")</f>
        <v/>
      </c>
      <c r="G234" s="158"/>
      <c r="H234" s="158"/>
      <c r="I234" s="158"/>
      <c r="J234" s="158"/>
      <c r="K234" s="158"/>
      <c r="L234" s="158"/>
      <c r="M234" s="158"/>
      <c r="N234" s="158"/>
      <c r="O234" s="158"/>
      <c r="P234" s="158"/>
      <c r="Q234" s="158"/>
      <c r="R234" s="158"/>
      <c r="S234" s="158"/>
      <c r="T234" s="158"/>
      <c r="U234" s="158"/>
      <c r="V234" s="158"/>
      <c r="W234" s="158"/>
      <c r="X234" s="158"/>
      <c r="Y234" s="158"/>
      <c r="Z234" s="158"/>
      <c r="AA234" s="158"/>
      <c r="AB234" s="158"/>
      <c r="AC234" s="158"/>
      <c r="AD234" s="158"/>
      <c r="AE234" s="158"/>
      <c r="AF234" s="158"/>
      <c r="AG234" s="158"/>
      <c r="AH234" s="158"/>
      <c r="AI234" s="158"/>
      <c r="AJ234" s="158"/>
      <c r="AK234" s="158"/>
      <c r="AL234" s="158"/>
      <c r="AM234" s="158"/>
      <c r="AN234" s="158"/>
      <c r="AO234" s="158"/>
      <c r="AP234" s="158"/>
      <c r="AQ234" s="158"/>
      <c r="AR234" s="158"/>
      <c r="AS234" s="158"/>
      <c r="AT234" s="158"/>
      <c r="AU234" s="158"/>
      <c r="AV234" s="158"/>
      <c r="AW234" s="158"/>
      <c r="AX234" s="158"/>
      <c r="AY234" s="158"/>
      <c r="AZ234" s="158"/>
      <c r="BA234" s="158"/>
      <c r="BB234" s="158"/>
      <c r="BC234" s="158"/>
      <c r="BD234" s="158"/>
      <c r="BE234" s="158"/>
      <c r="BF234" s="158"/>
      <c r="BG234" s="158"/>
      <c r="BH234" s="158"/>
      <c r="BI234" s="158"/>
      <c r="BJ234" s="158"/>
      <c r="BK234" s="158"/>
      <c r="BL234" s="158"/>
      <c r="BM234" s="158"/>
      <c r="BN234" s="158"/>
      <c r="BO234" s="158"/>
      <c r="BP234" s="158"/>
      <c r="BQ234" s="158"/>
      <c r="BR234" s="158"/>
      <c r="BS234" s="158"/>
      <c r="BT234" s="158"/>
      <c r="BU234" s="158"/>
      <c r="BV234" s="158"/>
      <c r="BW234" s="158"/>
      <c r="BX234" s="158"/>
      <c r="BY234" s="158"/>
      <c r="BZ234" s="158"/>
      <c r="CA234" s="158"/>
      <c r="CB234" s="158"/>
      <c r="CC234" s="158"/>
      <c r="CD234" s="158"/>
      <c r="CE234" s="158"/>
      <c r="CF234" s="158"/>
      <c r="CG234" s="158"/>
      <c r="CH234" s="158"/>
      <c r="CI234" s="158"/>
      <c r="CJ234" s="158"/>
      <c r="CK234" s="158"/>
      <c r="CL234" s="158"/>
      <c r="CM234" s="158"/>
      <c r="CN234" s="158"/>
      <c r="CO234" s="158"/>
      <c r="CP234" s="158"/>
      <c r="CQ234" s="158"/>
      <c r="CR234" s="158"/>
      <c r="CS234" s="158"/>
      <c r="CT234" s="158"/>
      <c r="CU234" s="158"/>
      <c r="CV234" s="158"/>
      <c r="CW234" s="158"/>
      <c r="CX234" s="158"/>
      <c r="CY234" s="158"/>
      <c r="CZ234" s="158"/>
      <c r="DA234" s="158"/>
      <c r="DB234" s="158"/>
      <c r="DC234" s="158"/>
      <c r="DD234" s="158"/>
      <c r="DE234" s="158"/>
      <c r="DF234" s="158"/>
      <c r="DG234" s="158"/>
      <c r="DH234" s="154" t="str">
        <f>'Pelan Pengambilan'!AF120</f>
        <v/>
      </c>
      <c r="DI234" s="154"/>
      <c r="DJ234" s="3">
        <f>IFERROR(MIN('Pelan Pengambilan'!H120,'Pelan Pengambilan'!J120,'Pelan Pengambilan'!L120,'Pelan Pengambilan'!N120,'Pelan Pengambilan'!P120,'Pelan Pengambilan'!R120,'Pelan Pengambilan'!T120,'Pelan Pengambilan'!V120,'Pelan Pengambilan'!X120,'Pelan Pengambilan'!Z120,'Pelan Pengambilan'!AB120,'Pelan Pengambilan'!AD120),"")</f>
        <v>0</v>
      </c>
      <c r="DK234" s="3">
        <f>IFERROR(MAX('Pelan Pengambilan'!H120,'Pelan Pengambilan'!J120,'Pelan Pengambilan'!L120,'Pelan Pengambilan'!N120,'Pelan Pengambilan'!P120,'Pelan Pengambilan'!R120,'Pelan Pengambilan'!T120,'Pelan Pengambilan'!V120,'Pelan Pengambilan'!X120,'Pelan Pengambilan'!Z120,'Pelan Pengambilan'!AB120,'Pelan Pengambilan'!AD120),"")</f>
        <v>0</v>
      </c>
      <c r="DL234" s="3">
        <f>IFERROR(MIN('Pelan Pengambilan'!I120,'Pelan Pengambilan'!K120,'Pelan Pengambilan'!M120,'Pelan Pengambilan'!O120,'Pelan Pengambilan'!Q120,'Pelan Pengambilan'!S120,'Pelan Pengambilan'!U120,'Pelan Pengambilan'!W120,'Pelan Pengambilan'!Y120,'Pelan Pengambilan'!AA120,'Pelan Pengambilan'!AC120,'Pelan Pengambilan'!AE120),"")</f>
        <v>0</v>
      </c>
      <c r="DM234" s="3">
        <f>IFERROR(MAX('Pelan Pengambilan'!I120,'Pelan Pengambilan'!K120,'Pelan Pengambilan'!M120,'Pelan Pengambilan'!O120,'Pelan Pengambilan'!Q120,'Pelan Pengambilan'!S120,'Pelan Pengambilan'!U120,'Pelan Pengambilan'!W120,'Pelan Pengambilan'!Y120,'Pelan Pengambilan'!AA120,'Pelan Pengambilan'!AC120,'Pelan Pengambilan'!AE120),"")</f>
        <v>0</v>
      </c>
    </row>
    <row r="235" ht="19.5" customHeight="1">
      <c r="A235" s="41"/>
      <c r="B235" s="41"/>
      <c r="C235" s="41"/>
      <c r="D235" s="155" t="s">
        <v>276</v>
      </c>
      <c r="E235" s="41"/>
      <c r="F235" s="41"/>
      <c r="G235" s="158"/>
      <c r="H235" s="158"/>
      <c r="I235" s="158"/>
      <c r="J235" s="158"/>
      <c r="K235" s="158"/>
      <c r="L235" s="158"/>
      <c r="M235" s="158"/>
      <c r="N235" s="158"/>
      <c r="O235" s="158"/>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158"/>
      <c r="AL235" s="158"/>
      <c r="AM235" s="158"/>
      <c r="AN235" s="158"/>
      <c r="AO235" s="158"/>
      <c r="AP235" s="158"/>
      <c r="AQ235" s="158"/>
      <c r="AR235" s="158"/>
      <c r="AS235" s="158"/>
      <c r="AT235" s="158"/>
      <c r="AU235" s="158"/>
      <c r="AV235" s="158"/>
      <c r="AW235" s="158"/>
      <c r="AX235" s="158"/>
      <c r="AY235" s="158"/>
      <c r="AZ235" s="158"/>
      <c r="BA235" s="158"/>
      <c r="BB235" s="158"/>
      <c r="BC235" s="158"/>
      <c r="BD235" s="158"/>
      <c r="BE235" s="158"/>
      <c r="BF235" s="158"/>
      <c r="BG235" s="158"/>
      <c r="BH235" s="158"/>
      <c r="BI235" s="158"/>
      <c r="BJ235" s="158"/>
      <c r="BK235" s="158"/>
      <c r="BL235" s="158"/>
      <c r="BM235" s="158"/>
      <c r="BN235" s="158"/>
      <c r="BO235" s="158"/>
      <c r="BP235" s="158"/>
      <c r="BQ235" s="158"/>
      <c r="BR235" s="158"/>
      <c r="BS235" s="158"/>
      <c r="BT235" s="158"/>
      <c r="BU235" s="158"/>
      <c r="BV235" s="158"/>
      <c r="BW235" s="158"/>
      <c r="BX235" s="158"/>
      <c r="BY235" s="158"/>
      <c r="BZ235" s="158"/>
      <c r="CA235" s="158"/>
      <c r="CB235" s="158"/>
      <c r="CC235" s="158"/>
      <c r="CD235" s="158"/>
      <c r="CE235" s="158"/>
      <c r="CF235" s="158"/>
      <c r="CG235" s="158"/>
      <c r="CH235" s="158"/>
      <c r="CI235" s="158"/>
      <c r="CJ235" s="158"/>
      <c r="CK235" s="158"/>
      <c r="CL235" s="158"/>
      <c r="CM235" s="158"/>
      <c r="CN235" s="158"/>
      <c r="CO235" s="158"/>
      <c r="CP235" s="158"/>
      <c r="CQ235" s="158"/>
      <c r="CR235" s="158"/>
      <c r="CS235" s="158"/>
      <c r="CT235" s="158"/>
      <c r="CU235" s="158"/>
      <c r="CV235" s="158"/>
      <c r="CW235" s="158"/>
      <c r="CX235" s="158"/>
      <c r="CY235" s="158"/>
      <c r="CZ235" s="158"/>
      <c r="DA235" s="158"/>
      <c r="DB235" s="158"/>
      <c r="DC235" s="158"/>
      <c r="DD235" s="158"/>
      <c r="DE235" s="158"/>
      <c r="DF235" s="158"/>
      <c r="DG235" s="158"/>
      <c r="DH235" s="41"/>
      <c r="DI235" s="41"/>
      <c r="DJ235" s="3"/>
      <c r="DK235" s="3"/>
      <c r="DL235" s="3"/>
      <c r="DM235" s="3"/>
    </row>
    <row r="236" ht="19.5" customHeight="1">
      <c r="A236" s="153" t="str">
        <f>'Pelan Pengambilan'!B121</f>
        <v/>
      </c>
      <c r="B236" s="154" t="str">
        <f>'Pelan Pengambilan'!C121</f>
        <v/>
      </c>
      <c r="C236" s="153" t="str">
        <f t="array" ref="C236">IFERROR(IF(INDEX(Strategi!$F$5:$F$134,MATCH(LARGE(Strategi!$K$5:$K$134,116),Strategi!$K$5:$K$134,0))="","","("&amp;COUNTIFS('Pelan Pengambilan'!$B$6:$B$121,'Pelan Pengambilan'!$B121,'Pelan Pengambilan'!$C$6:$C$121,'Pelan Pengambilan'!$C121)&amp;") "&amp;INDEX(Strategi!$F$5:$F$134,MATCH(LARGE(Strategi!$K$5:$K$134,116),Strategi!$K$5:$K$134,0))),"")</f>
        <v/>
      </c>
      <c r="D236" s="155" t="s">
        <v>275</v>
      </c>
      <c r="E236" s="156" t="str">
        <f>IFERROR(IF(COUNT('Pelan Pengambilan'!H121,'Pelan Pengambilan'!J121,'Pelan Pengambilan'!L121,'Pelan Pengambilan'!N121,'Pelan Pengambilan'!P121,'Pelan Pengambilan'!R121,'Pelan Pengambilan'!T121,'Pelan Pengambilan'!V121,'Pelan Pengambilan'!X121,'Pelan Pengambilan'!Z121,'Pelan Pengambilan'!AB121,'Pelan Pengambilan'!AD121)=0,"",COUNT('Pelan Pengambilan'!I121,'Pelan Pengambilan'!K121,'Pelan Pengambilan'!M121,'Pelan Pengambilan'!O121,'Pelan Pengambilan'!Q121,'Pelan Pengambilan'!S121,'Pelan Pengambilan'!U121,'Pelan Pengambilan'!W121,'Pelan Pengambilan'!Y121,'Pelan Pengambilan'!AA121,'Pelan Pengambilan'!AC121,'Pelan Pengambilan'!AE121)/COUNT('Pelan Pengambilan'!H121,'Pelan Pengambilan'!J121,'Pelan Pengambilan'!L121,'Pelan Pengambilan'!N121,'Pelan Pengambilan'!P121,'Pelan Pengambilan'!R121,'Pelan Pengambilan'!T121,'Pelan Pengambilan'!V121,'Pelan Pengambilan'!X121,'Pelan Pengambilan'!Z121,'Pelan Pengambilan'!AB121,'Pelan Pengambilan'!AD121)),"")</f>
        <v/>
      </c>
      <c r="F236" s="157" t="str">
        <f>IFERROR(IF('Pelan Pengambilan'!G121="","",'Pelan Pengambilan'!G121),"")</f>
        <v/>
      </c>
      <c r="G236" s="158"/>
      <c r="H236" s="158"/>
      <c r="I236" s="158"/>
      <c r="J236" s="158"/>
      <c r="K236" s="158"/>
      <c r="L236" s="158"/>
      <c r="M236" s="158"/>
      <c r="N236" s="158"/>
      <c r="O236" s="158"/>
      <c r="P236" s="158"/>
      <c r="Q236" s="158"/>
      <c r="R236" s="158"/>
      <c r="S236" s="158"/>
      <c r="T236" s="158"/>
      <c r="U236" s="158"/>
      <c r="V236" s="158"/>
      <c r="W236" s="158"/>
      <c r="X236" s="158"/>
      <c r="Y236" s="158"/>
      <c r="Z236" s="158"/>
      <c r="AA236" s="158"/>
      <c r="AB236" s="158"/>
      <c r="AC236" s="158"/>
      <c r="AD236" s="158"/>
      <c r="AE236" s="158"/>
      <c r="AF236" s="158"/>
      <c r="AG236" s="158"/>
      <c r="AH236" s="158"/>
      <c r="AI236" s="158"/>
      <c r="AJ236" s="158"/>
      <c r="AK236" s="158"/>
      <c r="AL236" s="158"/>
      <c r="AM236" s="158"/>
      <c r="AN236" s="158"/>
      <c r="AO236" s="158"/>
      <c r="AP236" s="158"/>
      <c r="AQ236" s="158"/>
      <c r="AR236" s="158"/>
      <c r="AS236" s="158"/>
      <c r="AT236" s="158"/>
      <c r="AU236" s="158"/>
      <c r="AV236" s="158"/>
      <c r="AW236" s="158"/>
      <c r="AX236" s="158"/>
      <c r="AY236" s="158"/>
      <c r="AZ236" s="158"/>
      <c r="BA236" s="158"/>
      <c r="BB236" s="158"/>
      <c r="BC236" s="158"/>
      <c r="BD236" s="158"/>
      <c r="BE236" s="158"/>
      <c r="BF236" s="158"/>
      <c r="BG236" s="158"/>
      <c r="BH236" s="158"/>
      <c r="BI236" s="158"/>
      <c r="BJ236" s="158"/>
      <c r="BK236" s="158"/>
      <c r="BL236" s="158"/>
      <c r="BM236" s="158"/>
      <c r="BN236" s="158"/>
      <c r="BO236" s="158"/>
      <c r="BP236" s="158"/>
      <c r="BQ236" s="158"/>
      <c r="BR236" s="158"/>
      <c r="BS236" s="158"/>
      <c r="BT236" s="158"/>
      <c r="BU236" s="158"/>
      <c r="BV236" s="158"/>
      <c r="BW236" s="158"/>
      <c r="BX236" s="158"/>
      <c r="BY236" s="158"/>
      <c r="BZ236" s="158"/>
      <c r="CA236" s="158"/>
      <c r="CB236" s="158"/>
      <c r="CC236" s="158"/>
      <c r="CD236" s="158"/>
      <c r="CE236" s="158"/>
      <c r="CF236" s="158"/>
      <c r="CG236" s="158"/>
      <c r="CH236" s="158"/>
      <c r="CI236" s="158"/>
      <c r="CJ236" s="158"/>
      <c r="CK236" s="158"/>
      <c r="CL236" s="158"/>
      <c r="CM236" s="158"/>
      <c r="CN236" s="158"/>
      <c r="CO236" s="158"/>
      <c r="CP236" s="158"/>
      <c r="CQ236" s="158"/>
      <c r="CR236" s="158"/>
      <c r="CS236" s="158"/>
      <c r="CT236" s="158"/>
      <c r="CU236" s="158"/>
      <c r="CV236" s="158"/>
      <c r="CW236" s="158"/>
      <c r="CX236" s="158"/>
      <c r="CY236" s="158"/>
      <c r="CZ236" s="158"/>
      <c r="DA236" s="158"/>
      <c r="DB236" s="158"/>
      <c r="DC236" s="158"/>
      <c r="DD236" s="158"/>
      <c r="DE236" s="158"/>
      <c r="DF236" s="158"/>
      <c r="DG236" s="158"/>
      <c r="DH236" s="154" t="str">
        <f>'Pelan Pengambilan'!AF121</f>
        <v/>
      </c>
      <c r="DI236" s="154"/>
      <c r="DJ236" s="3">
        <f>IFERROR(MIN('Pelan Pengambilan'!H121,'Pelan Pengambilan'!J121,'Pelan Pengambilan'!L121,'Pelan Pengambilan'!N121,'Pelan Pengambilan'!P121,'Pelan Pengambilan'!R121,'Pelan Pengambilan'!T121,'Pelan Pengambilan'!V121,'Pelan Pengambilan'!X121,'Pelan Pengambilan'!Z121,'Pelan Pengambilan'!AB121,'Pelan Pengambilan'!AD121),"")</f>
        <v>0</v>
      </c>
      <c r="DK236" s="3">
        <f>IFERROR(MAX('Pelan Pengambilan'!H121,'Pelan Pengambilan'!J121,'Pelan Pengambilan'!L121,'Pelan Pengambilan'!N121,'Pelan Pengambilan'!P121,'Pelan Pengambilan'!R121,'Pelan Pengambilan'!T121,'Pelan Pengambilan'!V121,'Pelan Pengambilan'!X121,'Pelan Pengambilan'!Z121,'Pelan Pengambilan'!AB121,'Pelan Pengambilan'!AD121),"")</f>
        <v>0</v>
      </c>
      <c r="DL236" s="3">
        <f>IFERROR(MIN('Pelan Pengambilan'!I121,'Pelan Pengambilan'!K121,'Pelan Pengambilan'!M121,'Pelan Pengambilan'!O121,'Pelan Pengambilan'!Q121,'Pelan Pengambilan'!S121,'Pelan Pengambilan'!U121,'Pelan Pengambilan'!W121,'Pelan Pengambilan'!Y121,'Pelan Pengambilan'!AA121,'Pelan Pengambilan'!AC121,'Pelan Pengambilan'!AE121),"")</f>
        <v>0</v>
      </c>
      <c r="DM236" s="3">
        <f>IFERROR(MAX('Pelan Pengambilan'!I121,'Pelan Pengambilan'!K121,'Pelan Pengambilan'!M121,'Pelan Pengambilan'!O121,'Pelan Pengambilan'!Q121,'Pelan Pengambilan'!S121,'Pelan Pengambilan'!U121,'Pelan Pengambilan'!W121,'Pelan Pengambilan'!Y121,'Pelan Pengambilan'!AA121,'Pelan Pengambilan'!AC121,'Pelan Pengambilan'!AE121),"")</f>
        <v>0</v>
      </c>
    </row>
    <row r="237" ht="19.5" customHeight="1">
      <c r="A237" s="41"/>
      <c r="B237" s="41"/>
      <c r="C237" s="41"/>
      <c r="D237" s="155" t="s">
        <v>276</v>
      </c>
      <c r="E237" s="41"/>
      <c r="F237" s="41"/>
      <c r="G237" s="158"/>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158"/>
      <c r="AU237" s="158"/>
      <c r="AV237" s="158"/>
      <c r="AW237" s="158"/>
      <c r="AX237" s="158"/>
      <c r="AY237" s="158"/>
      <c r="AZ237" s="158"/>
      <c r="BA237" s="158"/>
      <c r="BB237" s="158"/>
      <c r="BC237" s="158"/>
      <c r="BD237" s="158"/>
      <c r="BE237" s="158"/>
      <c r="BF237" s="158"/>
      <c r="BG237" s="158"/>
      <c r="BH237" s="158"/>
      <c r="BI237" s="158"/>
      <c r="BJ237" s="158"/>
      <c r="BK237" s="158"/>
      <c r="BL237" s="158"/>
      <c r="BM237" s="158"/>
      <c r="BN237" s="158"/>
      <c r="BO237" s="158"/>
      <c r="BP237" s="158"/>
      <c r="BQ237" s="158"/>
      <c r="BR237" s="158"/>
      <c r="BS237" s="158"/>
      <c r="BT237" s="158"/>
      <c r="BU237" s="158"/>
      <c r="BV237" s="158"/>
      <c r="BW237" s="158"/>
      <c r="BX237" s="158"/>
      <c r="BY237" s="158"/>
      <c r="BZ237" s="158"/>
      <c r="CA237" s="158"/>
      <c r="CB237" s="158"/>
      <c r="CC237" s="158"/>
      <c r="CD237" s="158"/>
      <c r="CE237" s="158"/>
      <c r="CF237" s="158"/>
      <c r="CG237" s="158"/>
      <c r="CH237" s="158"/>
      <c r="CI237" s="158"/>
      <c r="CJ237" s="158"/>
      <c r="CK237" s="158"/>
      <c r="CL237" s="158"/>
      <c r="CM237" s="158"/>
      <c r="CN237" s="158"/>
      <c r="CO237" s="158"/>
      <c r="CP237" s="158"/>
      <c r="CQ237" s="158"/>
      <c r="CR237" s="158"/>
      <c r="CS237" s="158"/>
      <c r="CT237" s="158"/>
      <c r="CU237" s="158"/>
      <c r="CV237" s="158"/>
      <c r="CW237" s="158"/>
      <c r="CX237" s="158"/>
      <c r="CY237" s="158"/>
      <c r="CZ237" s="158"/>
      <c r="DA237" s="158"/>
      <c r="DB237" s="158"/>
      <c r="DC237" s="158"/>
      <c r="DD237" s="158"/>
      <c r="DE237" s="158"/>
      <c r="DF237" s="158"/>
      <c r="DG237" s="158"/>
      <c r="DH237" s="41"/>
      <c r="DI237" s="41"/>
      <c r="DJ237" s="3"/>
      <c r="DK237" s="3"/>
      <c r="DL237" s="3"/>
      <c r="DM237" s="3"/>
    </row>
    <row r="238" ht="19.5" customHeight="1">
      <c r="A238" s="153" t="str">
        <f>'Pelan Pengambilan'!B122</f>
        <v/>
      </c>
      <c r="B238" s="154" t="str">
        <f>'Pelan Pengambilan'!C122</f>
        <v/>
      </c>
      <c r="C238" s="153" t="str">
        <f t="array" ref="C238">IFERROR(IF(INDEX(Strategi!$F$5:$F$134,MATCH(LARGE(Strategi!$K$5:$K$134,117),Strategi!$K$5:$K$134,0))="","","("&amp;COUNTIFS('Pelan Pengambilan'!$B$6:$B$122,'Pelan Pengambilan'!$B122,'Pelan Pengambilan'!$C$6:$C$122,'Pelan Pengambilan'!$C122)&amp;") "&amp;INDEX(Strategi!$F$5:$F$134,MATCH(LARGE(Strategi!$K$5:$K$134,117),Strategi!$K$5:$K$134,0))),"")</f>
        <v/>
      </c>
      <c r="D238" s="155" t="s">
        <v>275</v>
      </c>
      <c r="E238" s="156" t="str">
        <f>IFERROR(IF(COUNT('Pelan Pengambilan'!H122,'Pelan Pengambilan'!J122,'Pelan Pengambilan'!L122,'Pelan Pengambilan'!N122,'Pelan Pengambilan'!P122,'Pelan Pengambilan'!R122,'Pelan Pengambilan'!T122,'Pelan Pengambilan'!V122,'Pelan Pengambilan'!X122,'Pelan Pengambilan'!Z122,'Pelan Pengambilan'!AB122,'Pelan Pengambilan'!AD122)=0,"",COUNT('Pelan Pengambilan'!I122,'Pelan Pengambilan'!K122,'Pelan Pengambilan'!M122,'Pelan Pengambilan'!O122,'Pelan Pengambilan'!Q122,'Pelan Pengambilan'!S122,'Pelan Pengambilan'!U122,'Pelan Pengambilan'!W122,'Pelan Pengambilan'!Y122,'Pelan Pengambilan'!AA122,'Pelan Pengambilan'!AC122,'Pelan Pengambilan'!AE122)/COUNT('Pelan Pengambilan'!H122,'Pelan Pengambilan'!J122,'Pelan Pengambilan'!L122,'Pelan Pengambilan'!N122,'Pelan Pengambilan'!P122,'Pelan Pengambilan'!R122,'Pelan Pengambilan'!T122,'Pelan Pengambilan'!V122,'Pelan Pengambilan'!X122,'Pelan Pengambilan'!Z122,'Pelan Pengambilan'!AB122,'Pelan Pengambilan'!AD122)),"")</f>
        <v/>
      </c>
      <c r="F238" s="157" t="str">
        <f>IFERROR(IF('Pelan Pengambilan'!G122="","",'Pelan Pengambilan'!G122),"")</f>
        <v/>
      </c>
      <c r="G238" s="158"/>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158"/>
      <c r="AU238" s="158"/>
      <c r="AV238" s="158"/>
      <c r="AW238" s="158"/>
      <c r="AX238" s="158"/>
      <c r="AY238" s="158"/>
      <c r="AZ238" s="158"/>
      <c r="BA238" s="158"/>
      <c r="BB238" s="158"/>
      <c r="BC238" s="158"/>
      <c r="BD238" s="158"/>
      <c r="BE238" s="158"/>
      <c r="BF238" s="158"/>
      <c r="BG238" s="158"/>
      <c r="BH238" s="158"/>
      <c r="BI238" s="158"/>
      <c r="BJ238" s="158"/>
      <c r="BK238" s="158"/>
      <c r="BL238" s="158"/>
      <c r="BM238" s="158"/>
      <c r="BN238" s="158"/>
      <c r="BO238" s="158"/>
      <c r="BP238" s="158"/>
      <c r="BQ238" s="158"/>
      <c r="BR238" s="158"/>
      <c r="BS238" s="158"/>
      <c r="BT238" s="158"/>
      <c r="BU238" s="158"/>
      <c r="BV238" s="158"/>
      <c r="BW238" s="158"/>
      <c r="BX238" s="158"/>
      <c r="BY238" s="158"/>
      <c r="BZ238" s="158"/>
      <c r="CA238" s="158"/>
      <c r="CB238" s="158"/>
      <c r="CC238" s="158"/>
      <c r="CD238" s="158"/>
      <c r="CE238" s="158"/>
      <c r="CF238" s="158"/>
      <c r="CG238" s="158"/>
      <c r="CH238" s="158"/>
      <c r="CI238" s="158"/>
      <c r="CJ238" s="158"/>
      <c r="CK238" s="158"/>
      <c r="CL238" s="158"/>
      <c r="CM238" s="158"/>
      <c r="CN238" s="158"/>
      <c r="CO238" s="158"/>
      <c r="CP238" s="158"/>
      <c r="CQ238" s="158"/>
      <c r="CR238" s="158"/>
      <c r="CS238" s="158"/>
      <c r="CT238" s="158"/>
      <c r="CU238" s="158"/>
      <c r="CV238" s="158"/>
      <c r="CW238" s="158"/>
      <c r="CX238" s="158"/>
      <c r="CY238" s="158"/>
      <c r="CZ238" s="158"/>
      <c r="DA238" s="158"/>
      <c r="DB238" s="158"/>
      <c r="DC238" s="158"/>
      <c r="DD238" s="158"/>
      <c r="DE238" s="158"/>
      <c r="DF238" s="158"/>
      <c r="DG238" s="158"/>
      <c r="DH238" s="154" t="str">
        <f>'Pelan Pengambilan'!AF122</f>
        <v/>
      </c>
      <c r="DI238" s="154"/>
      <c r="DJ238" s="3">
        <f>IFERROR(MIN('Pelan Pengambilan'!H122,'Pelan Pengambilan'!J122,'Pelan Pengambilan'!L122,'Pelan Pengambilan'!N122,'Pelan Pengambilan'!P122,'Pelan Pengambilan'!R122,'Pelan Pengambilan'!T122,'Pelan Pengambilan'!V122,'Pelan Pengambilan'!X122,'Pelan Pengambilan'!Z122,'Pelan Pengambilan'!AB122,'Pelan Pengambilan'!AD122),"")</f>
        <v>0</v>
      </c>
      <c r="DK238" s="3">
        <f>IFERROR(MAX('Pelan Pengambilan'!H122,'Pelan Pengambilan'!J122,'Pelan Pengambilan'!L122,'Pelan Pengambilan'!N122,'Pelan Pengambilan'!P122,'Pelan Pengambilan'!R122,'Pelan Pengambilan'!T122,'Pelan Pengambilan'!V122,'Pelan Pengambilan'!X122,'Pelan Pengambilan'!Z122,'Pelan Pengambilan'!AB122,'Pelan Pengambilan'!AD122),"")</f>
        <v>0</v>
      </c>
      <c r="DL238" s="3">
        <f>IFERROR(MIN('Pelan Pengambilan'!I122,'Pelan Pengambilan'!K122,'Pelan Pengambilan'!M122,'Pelan Pengambilan'!O122,'Pelan Pengambilan'!Q122,'Pelan Pengambilan'!S122,'Pelan Pengambilan'!U122,'Pelan Pengambilan'!W122,'Pelan Pengambilan'!Y122,'Pelan Pengambilan'!AA122,'Pelan Pengambilan'!AC122,'Pelan Pengambilan'!AE122),"")</f>
        <v>0</v>
      </c>
      <c r="DM238" s="3">
        <f>IFERROR(MAX('Pelan Pengambilan'!I122,'Pelan Pengambilan'!K122,'Pelan Pengambilan'!M122,'Pelan Pengambilan'!O122,'Pelan Pengambilan'!Q122,'Pelan Pengambilan'!S122,'Pelan Pengambilan'!U122,'Pelan Pengambilan'!W122,'Pelan Pengambilan'!Y122,'Pelan Pengambilan'!AA122,'Pelan Pengambilan'!AC122,'Pelan Pengambilan'!AE122),"")</f>
        <v>0</v>
      </c>
    </row>
    <row r="239" ht="19.5" customHeight="1">
      <c r="A239" s="41"/>
      <c r="B239" s="41"/>
      <c r="C239" s="41"/>
      <c r="D239" s="155" t="s">
        <v>276</v>
      </c>
      <c r="E239" s="41"/>
      <c r="F239" s="41"/>
      <c r="G239" s="158"/>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158"/>
      <c r="AU239" s="158"/>
      <c r="AV239" s="158"/>
      <c r="AW239" s="158"/>
      <c r="AX239" s="158"/>
      <c r="AY239" s="158"/>
      <c r="AZ239" s="158"/>
      <c r="BA239" s="158"/>
      <c r="BB239" s="158"/>
      <c r="BC239" s="158"/>
      <c r="BD239" s="158"/>
      <c r="BE239" s="158"/>
      <c r="BF239" s="158"/>
      <c r="BG239" s="158"/>
      <c r="BH239" s="158"/>
      <c r="BI239" s="158"/>
      <c r="BJ239" s="158"/>
      <c r="BK239" s="158"/>
      <c r="BL239" s="158"/>
      <c r="BM239" s="158"/>
      <c r="BN239" s="158"/>
      <c r="BO239" s="158"/>
      <c r="BP239" s="158"/>
      <c r="BQ239" s="158"/>
      <c r="BR239" s="158"/>
      <c r="BS239" s="158"/>
      <c r="BT239" s="158"/>
      <c r="BU239" s="158"/>
      <c r="BV239" s="158"/>
      <c r="BW239" s="158"/>
      <c r="BX239" s="158"/>
      <c r="BY239" s="158"/>
      <c r="BZ239" s="158"/>
      <c r="CA239" s="158"/>
      <c r="CB239" s="158"/>
      <c r="CC239" s="158"/>
      <c r="CD239" s="158"/>
      <c r="CE239" s="158"/>
      <c r="CF239" s="158"/>
      <c r="CG239" s="158"/>
      <c r="CH239" s="158"/>
      <c r="CI239" s="158"/>
      <c r="CJ239" s="158"/>
      <c r="CK239" s="158"/>
      <c r="CL239" s="158"/>
      <c r="CM239" s="158"/>
      <c r="CN239" s="158"/>
      <c r="CO239" s="158"/>
      <c r="CP239" s="158"/>
      <c r="CQ239" s="158"/>
      <c r="CR239" s="158"/>
      <c r="CS239" s="158"/>
      <c r="CT239" s="158"/>
      <c r="CU239" s="158"/>
      <c r="CV239" s="158"/>
      <c r="CW239" s="158"/>
      <c r="CX239" s="158"/>
      <c r="CY239" s="158"/>
      <c r="CZ239" s="158"/>
      <c r="DA239" s="158"/>
      <c r="DB239" s="158"/>
      <c r="DC239" s="158"/>
      <c r="DD239" s="158"/>
      <c r="DE239" s="158"/>
      <c r="DF239" s="158"/>
      <c r="DG239" s="158"/>
      <c r="DH239" s="41"/>
      <c r="DI239" s="41"/>
      <c r="DJ239" s="3"/>
      <c r="DK239" s="3"/>
      <c r="DL239" s="3"/>
      <c r="DM239" s="3"/>
    </row>
    <row r="240" ht="19.5" customHeight="1">
      <c r="A240" s="153" t="str">
        <f>'Pelan Pengambilan'!B123</f>
        <v/>
      </c>
      <c r="B240" s="154" t="str">
        <f>'Pelan Pengambilan'!C123</f>
        <v/>
      </c>
      <c r="C240" s="153" t="str">
        <f t="array" ref="C240">IFERROR(IF(INDEX(Strategi!$F$5:$F$134,MATCH(LARGE(Strategi!$K$5:$K$134,118),Strategi!$K$5:$K$134,0))="","","("&amp;COUNTIFS('Pelan Pengambilan'!$B$6:$B$123,'Pelan Pengambilan'!$B123,'Pelan Pengambilan'!$C$6:$C$123,'Pelan Pengambilan'!$C123)&amp;") "&amp;INDEX(Strategi!$F$5:$F$134,MATCH(LARGE(Strategi!$K$5:$K$134,118),Strategi!$K$5:$K$134,0))),"")</f>
        <v/>
      </c>
      <c r="D240" s="155" t="s">
        <v>275</v>
      </c>
      <c r="E240" s="156" t="str">
        <f>IFERROR(IF(COUNT('Pelan Pengambilan'!H123,'Pelan Pengambilan'!J123,'Pelan Pengambilan'!L123,'Pelan Pengambilan'!N123,'Pelan Pengambilan'!P123,'Pelan Pengambilan'!R123,'Pelan Pengambilan'!T123,'Pelan Pengambilan'!V123,'Pelan Pengambilan'!X123,'Pelan Pengambilan'!Z123,'Pelan Pengambilan'!AB123,'Pelan Pengambilan'!AD123)=0,"",COUNT('Pelan Pengambilan'!I123,'Pelan Pengambilan'!K123,'Pelan Pengambilan'!M123,'Pelan Pengambilan'!O123,'Pelan Pengambilan'!Q123,'Pelan Pengambilan'!S123,'Pelan Pengambilan'!U123,'Pelan Pengambilan'!W123,'Pelan Pengambilan'!Y123,'Pelan Pengambilan'!AA123,'Pelan Pengambilan'!AC123,'Pelan Pengambilan'!AE123)/COUNT('Pelan Pengambilan'!H123,'Pelan Pengambilan'!J123,'Pelan Pengambilan'!L123,'Pelan Pengambilan'!N123,'Pelan Pengambilan'!P123,'Pelan Pengambilan'!R123,'Pelan Pengambilan'!T123,'Pelan Pengambilan'!V123,'Pelan Pengambilan'!X123,'Pelan Pengambilan'!Z123,'Pelan Pengambilan'!AB123,'Pelan Pengambilan'!AD123)),"")</f>
        <v/>
      </c>
      <c r="F240" s="157" t="str">
        <f>IFERROR(IF('Pelan Pengambilan'!G123="","",'Pelan Pengambilan'!G123),"")</f>
        <v/>
      </c>
      <c r="G240" s="158"/>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158"/>
      <c r="AU240" s="158"/>
      <c r="AV240" s="158"/>
      <c r="AW240" s="158"/>
      <c r="AX240" s="158"/>
      <c r="AY240" s="158"/>
      <c r="AZ240" s="158"/>
      <c r="BA240" s="158"/>
      <c r="BB240" s="158"/>
      <c r="BC240" s="158"/>
      <c r="BD240" s="158"/>
      <c r="BE240" s="158"/>
      <c r="BF240" s="158"/>
      <c r="BG240" s="158"/>
      <c r="BH240" s="158"/>
      <c r="BI240" s="158"/>
      <c r="BJ240" s="158"/>
      <c r="BK240" s="158"/>
      <c r="BL240" s="158"/>
      <c r="BM240" s="158"/>
      <c r="BN240" s="158"/>
      <c r="BO240" s="158"/>
      <c r="BP240" s="158"/>
      <c r="BQ240" s="158"/>
      <c r="BR240" s="158"/>
      <c r="BS240" s="158"/>
      <c r="BT240" s="158"/>
      <c r="BU240" s="158"/>
      <c r="BV240" s="158"/>
      <c r="BW240" s="158"/>
      <c r="BX240" s="158"/>
      <c r="BY240" s="158"/>
      <c r="BZ240" s="158"/>
      <c r="CA240" s="158"/>
      <c r="CB240" s="158"/>
      <c r="CC240" s="158"/>
      <c r="CD240" s="158"/>
      <c r="CE240" s="158"/>
      <c r="CF240" s="158"/>
      <c r="CG240" s="158"/>
      <c r="CH240" s="158"/>
      <c r="CI240" s="158"/>
      <c r="CJ240" s="158"/>
      <c r="CK240" s="158"/>
      <c r="CL240" s="158"/>
      <c r="CM240" s="158"/>
      <c r="CN240" s="158"/>
      <c r="CO240" s="158"/>
      <c r="CP240" s="158"/>
      <c r="CQ240" s="158"/>
      <c r="CR240" s="158"/>
      <c r="CS240" s="158"/>
      <c r="CT240" s="158"/>
      <c r="CU240" s="158"/>
      <c r="CV240" s="158"/>
      <c r="CW240" s="158"/>
      <c r="CX240" s="158"/>
      <c r="CY240" s="158"/>
      <c r="CZ240" s="158"/>
      <c r="DA240" s="158"/>
      <c r="DB240" s="158"/>
      <c r="DC240" s="158"/>
      <c r="DD240" s="158"/>
      <c r="DE240" s="158"/>
      <c r="DF240" s="158"/>
      <c r="DG240" s="158"/>
      <c r="DH240" s="154" t="str">
        <f>'Pelan Pengambilan'!AF123</f>
        <v/>
      </c>
      <c r="DI240" s="154"/>
      <c r="DJ240" s="3">
        <f>IFERROR(MIN('Pelan Pengambilan'!H123,'Pelan Pengambilan'!J123,'Pelan Pengambilan'!L123,'Pelan Pengambilan'!N123,'Pelan Pengambilan'!P123,'Pelan Pengambilan'!R123,'Pelan Pengambilan'!T123,'Pelan Pengambilan'!V123,'Pelan Pengambilan'!X123,'Pelan Pengambilan'!Z123,'Pelan Pengambilan'!AB123,'Pelan Pengambilan'!AD123),"")</f>
        <v>0</v>
      </c>
      <c r="DK240" s="3">
        <f>IFERROR(MAX('Pelan Pengambilan'!H123,'Pelan Pengambilan'!J123,'Pelan Pengambilan'!L123,'Pelan Pengambilan'!N123,'Pelan Pengambilan'!P123,'Pelan Pengambilan'!R123,'Pelan Pengambilan'!T123,'Pelan Pengambilan'!V123,'Pelan Pengambilan'!X123,'Pelan Pengambilan'!Z123,'Pelan Pengambilan'!AB123,'Pelan Pengambilan'!AD123),"")</f>
        <v>0</v>
      </c>
      <c r="DL240" s="3">
        <f>IFERROR(MIN('Pelan Pengambilan'!I123,'Pelan Pengambilan'!K123,'Pelan Pengambilan'!M123,'Pelan Pengambilan'!O123,'Pelan Pengambilan'!Q123,'Pelan Pengambilan'!S123,'Pelan Pengambilan'!U123,'Pelan Pengambilan'!W123,'Pelan Pengambilan'!Y123,'Pelan Pengambilan'!AA123,'Pelan Pengambilan'!AC123,'Pelan Pengambilan'!AE123),"")</f>
        <v>0</v>
      </c>
      <c r="DM240" s="3">
        <f>IFERROR(MAX('Pelan Pengambilan'!I123,'Pelan Pengambilan'!K123,'Pelan Pengambilan'!M123,'Pelan Pengambilan'!O123,'Pelan Pengambilan'!Q123,'Pelan Pengambilan'!S123,'Pelan Pengambilan'!U123,'Pelan Pengambilan'!W123,'Pelan Pengambilan'!Y123,'Pelan Pengambilan'!AA123,'Pelan Pengambilan'!AC123,'Pelan Pengambilan'!AE123),"")</f>
        <v>0</v>
      </c>
    </row>
    <row r="241" ht="19.5" customHeight="1">
      <c r="A241" s="41"/>
      <c r="B241" s="41"/>
      <c r="C241" s="41"/>
      <c r="D241" s="155" t="s">
        <v>276</v>
      </c>
      <c r="E241" s="41"/>
      <c r="F241" s="41"/>
      <c r="G241" s="158"/>
      <c r="H241" s="158"/>
      <c r="I241" s="158"/>
      <c r="J241" s="158"/>
      <c r="K241" s="158"/>
      <c r="L241" s="158"/>
      <c r="M241" s="158"/>
      <c r="N241" s="158"/>
      <c r="O241" s="158"/>
      <c r="P241" s="158"/>
      <c r="Q241" s="158"/>
      <c r="R241" s="158"/>
      <c r="S241" s="158"/>
      <c r="T241" s="158"/>
      <c r="U241" s="158"/>
      <c r="V241" s="158"/>
      <c r="W241" s="158"/>
      <c r="X241" s="158"/>
      <c r="Y241" s="158"/>
      <c r="Z241" s="158"/>
      <c r="AA241" s="158"/>
      <c r="AB241" s="158"/>
      <c r="AC241" s="158"/>
      <c r="AD241" s="158"/>
      <c r="AE241" s="158"/>
      <c r="AF241" s="158"/>
      <c r="AG241" s="158"/>
      <c r="AH241" s="158"/>
      <c r="AI241" s="158"/>
      <c r="AJ241" s="158"/>
      <c r="AK241" s="158"/>
      <c r="AL241" s="158"/>
      <c r="AM241" s="158"/>
      <c r="AN241" s="158"/>
      <c r="AO241" s="158"/>
      <c r="AP241" s="158"/>
      <c r="AQ241" s="158"/>
      <c r="AR241" s="158"/>
      <c r="AS241" s="158"/>
      <c r="AT241" s="158"/>
      <c r="AU241" s="158"/>
      <c r="AV241" s="158"/>
      <c r="AW241" s="158"/>
      <c r="AX241" s="158"/>
      <c r="AY241" s="158"/>
      <c r="AZ241" s="158"/>
      <c r="BA241" s="158"/>
      <c r="BB241" s="158"/>
      <c r="BC241" s="158"/>
      <c r="BD241" s="158"/>
      <c r="BE241" s="158"/>
      <c r="BF241" s="158"/>
      <c r="BG241" s="158"/>
      <c r="BH241" s="158"/>
      <c r="BI241" s="158"/>
      <c r="BJ241" s="158"/>
      <c r="BK241" s="158"/>
      <c r="BL241" s="158"/>
      <c r="BM241" s="158"/>
      <c r="BN241" s="158"/>
      <c r="BO241" s="158"/>
      <c r="BP241" s="158"/>
      <c r="BQ241" s="158"/>
      <c r="BR241" s="158"/>
      <c r="BS241" s="158"/>
      <c r="BT241" s="158"/>
      <c r="BU241" s="158"/>
      <c r="BV241" s="158"/>
      <c r="BW241" s="158"/>
      <c r="BX241" s="158"/>
      <c r="BY241" s="158"/>
      <c r="BZ241" s="158"/>
      <c r="CA241" s="158"/>
      <c r="CB241" s="158"/>
      <c r="CC241" s="158"/>
      <c r="CD241" s="158"/>
      <c r="CE241" s="158"/>
      <c r="CF241" s="158"/>
      <c r="CG241" s="158"/>
      <c r="CH241" s="158"/>
      <c r="CI241" s="158"/>
      <c r="CJ241" s="158"/>
      <c r="CK241" s="158"/>
      <c r="CL241" s="158"/>
      <c r="CM241" s="158"/>
      <c r="CN241" s="158"/>
      <c r="CO241" s="158"/>
      <c r="CP241" s="158"/>
      <c r="CQ241" s="158"/>
      <c r="CR241" s="158"/>
      <c r="CS241" s="158"/>
      <c r="CT241" s="158"/>
      <c r="CU241" s="158"/>
      <c r="CV241" s="158"/>
      <c r="CW241" s="158"/>
      <c r="CX241" s="158"/>
      <c r="CY241" s="158"/>
      <c r="CZ241" s="158"/>
      <c r="DA241" s="158"/>
      <c r="DB241" s="158"/>
      <c r="DC241" s="158"/>
      <c r="DD241" s="158"/>
      <c r="DE241" s="158"/>
      <c r="DF241" s="158"/>
      <c r="DG241" s="158"/>
      <c r="DH241" s="41"/>
      <c r="DI241" s="41"/>
      <c r="DJ241" s="3"/>
      <c r="DK241" s="3"/>
      <c r="DL241" s="3"/>
      <c r="DM241" s="3"/>
    </row>
    <row r="242" ht="19.5" customHeight="1">
      <c r="A242" s="153" t="str">
        <f>'Pelan Pengambilan'!B124</f>
        <v/>
      </c>
      <c r="B242" s="154" t="str">
        <f>'Pelan Pengambilan'!C124</f>
        <v/>
      </c>
      <c r="C242" s="153" t="str">
        <f t="array" ref="C242">IFERROR(IF(INDEX(Strategi!$F$5:$F$134,MATCH(LARGE(Strategi!$K$5:$K$134,119),Strategi!$K$5:$K$134,0))="","","("&amp;COUNTIFS('Pelan Pengambilan'!$B$6:$B$124,'Pelan Pengambilan'!$B124,'Pelan Pengambilan'!$C$6:$C$124,'Pelan Pengambilan'!$C124)&amp;") "&amp;INDEX(Strategi!$F$5:$F$134,MATCH(LARGE(Strategi!$K$5:$K$134,119),Strategi!$K$5:$K$134,0))),"")</f>
        <v/>
      </c>
      <c r="D242" s="155" t="s">
        <v>275</v>
      </c>
      <c r="E242" s="156" t="str">
        <f>IFERROR(IF(COUNT('Pelan Pengambilan'!H124,'Pelan Pengambilan'!J124,'Pelan Pengambilan'!L124,'Pelan Pengambilan'!N124,'Pelan Pengambilan'!P124,'Pelan Pengambilan'!R124,'Pelan Pengambilan'!T124,'Pelan Pengambilan'!V124,'Pelan Pengambilan'!X124,'Pelan Pengambilan'!Z124,'Pelan Pengambilan'!AB124,'Pelan Pengambilan'!AD124)=0,"",COUNT('Pelan Pengambilan'!I124,'Pelan Pengambilan'!K124,'Pelan Pengambilan'!M124,'Pelan Pengambilan'!O124,'Pelan Pengambilan'!Q124,'Pelan Pengambilan'!S124,'Pelan Pengambilan'!U124,'Pelan Pengambilan'!W124,'Pelan Pengambilan'!Y124,'Pelan Pengambilan'!AA124,'Pelan Pengambilan'!AC124,'Pelan Pengambilan'!AE124)/COUNT('Pelan Pengambilan'!H124,'Pelan Pengambilan'!J124,'Pelan Pengambilan'!L124,'Pelan Pengambilan'!N124,'Pelan Pengambilan'!P124,'Pelan Pengambilan'!R124,'Pelan Pengambilan'!T124,'Pelan Pengambilan'!V124,'Pelan Pengambilan'!X124,'Pelan Pengambilan'!Z124,'Pelan Pengambilan'!AB124,'Pelan Pengambilan'!AD124)),"")</f>
        <v/>
      </c>
      <c r="F242" s="157" t="str">
        <f>IFERROR(IF('Pelan Pengambilan'!G124="","",'Pelan Pengambilan'!G124),"")</f>
        <v/>
      </c>
      <c r="G242" s="158"/>
      <c r="H242" s="158"/>
      <c r="I242" s="158"/>
      <c r="J242" s="158"/>
      <c r="K242" s="158"/>
      <c r="L242" s="158"/>
      <c r="M242" s="158"/>
      <c r="N242" s="158"/>
      <c r="O242" s="158"/>
      <c r="P242" s="158"/>
      <c r="Q242" s="158"/>
      <c r="R242" s="158"/>
      <c r="S242" s="158"/>
      <c r="T242" s="158"/>
      <c r="U242" s="158"/>
      <c r="V242" s="158"/>
      <c r="W242" s="158"/>
      <c r="X242" s="158"/>
      <c r="Y242" s="158"/>
      <c r="Z242" s="158"/>
      <c r="AA242" s="158"/>
      <c r="AB242" s="158"/>
      <c r="AC242" s="158"/>
      <c r="AD242" s="158"/>
      <c r="AE242" s="158"/>
      <c r="AF242" s="158"/>
      <c r="AG242" s="158"/>
      <c r="AH242" s="158"/>
      <c r="AI242" s="158"/>
      <c r="AJ242" s="158"/>
      <c r="AK242" s="158"/>
      <c r="AL242" s="158"/>
      <c r="AM242" s="158"/>
      <c r="AN242" s="158"/>
      <c r="AO242" s="158"/>
      <c r="AP242" s="158"/>
      <c r="AQ242" s="158"/>
      <c r="AR242" s="158"/>
      <c r="AS242" s="158"/>
      <c r="AT242" s="158"/>
      <c r="AU242" s="158"/>
      <c r="AV242" s="158"/>
      <c r="AW242" s="158"/>
      <c r="AX242" s="158"/>
      <c r="AY242" s="158"/>
      <c r="AZ242" s="158"/>
      <c r="BA242" s="158"/>
      <c r="BB242" s="158"/>
      <c r="BC242" s="158"/>
      <c r="BD242" s="158"/>
      <c r="BE242" s="158"/>
      <c r="BF242" s="158"/>
      <c r="BG242" s="158"/>
      <c r="BH242" s="158"/>
      <c r="BI242" s="158"/>
      <c r="BJ242" s="158"/>
      <c r="BK242" s="158"/>
      <c r="BL242" s="158"/>
      <c r="BM242" s="158"/>
      <c r="BN242" s="158"/>
      <c r="BO242" s="158"/>
      <c r="BP242" s="158"/>
      <c r="BQ242" s="158"/>
      <c r="BR242" s="158"/>
      <c r="BS242" s="158"/>
      <c r="BT242" s="158"/>
      <c r="BU242" s="158"/>
      <c r="BV242" s="158"/>
      <c r="BW242" s="158"/>
      <c r="BX242" s="158"/>
      <c r="BY242" s="158"/>
      <c r="BZ242" s="158"/>
      <c r="CA242" s="158"/>
      <c r="CB242" s="158"/>
      <c r="CC242" s="158"/>
      <c r="CD242" s="158"/>
      <c r="CE242" s="158"/>
      <c r="CF242" s="158"/>
      <c r="CG242" s="158"/>
      <c r="CH242" s="158"/>
      <c r="CI242" s="158"/>
      <c r="CJ242" s="158"/>
      <c r="CK242" s="158"/>
      <c r="CL242" s="158"/>
      <c r="CM242" s="158"/>
      <c r="CN242" s="158"/>
      <c r="CO242" s="158"/>
      <c r="CP242" s="158"/>
      <c r="CQ242" s="158"/>
      <c r="CR242" s="158"/>
      <c r="CS242" s="158"/>
      <c r="CT242" s="158"/>
      <c r="CU242" s="158"/>
      <c r="CV242" s="158"/>
      <c r="CW242" s="158"/>
      <c r="CX242" s="158"/>
      <c r="CY242" s="158"/>
      <c r="CZ242" s="158"/>
      <c r="DA242" s="158"/>
      <c r="DB242" s="158"/>
      <c r="DC242" s="158"/>
      <c r="DD242" s="158"/>
      <c r="DE242" s="158"/>
      <c r="DF242" s="158"/>
      <c r="DG242" s="158"/>
      <c r="DH242" s="154" t="str">
        <f>'Pelan Pengambilan'!AF124</f>
        <v/>
      </c>
      <c r="DI242" s="154"/>
      <c r="DJ242" s="3">
        <f>IFERROR(MIN('Pelan Pengambilan'!H124,'Pelan Pengambilan'!J124,'Pelan Pengambilan'!L124,'Pelan Pengambilan'!N124,'Pelan Pengambilan'!P124,'Pelan Pengambilan'!R124,'Pelan Pengambilan'!T124,'Pelan Pengambilan'!V124,'Pelan Pengambilan'!X124,'Pelan Pengambilan'!Z124,'Pelan Pengambilan'!AB124,'Pelan Pengambilan'!AD124),"")</f>
        <v>0</v>
      </c>
      <c r="DK242" s="3">
        <f>IFERROR(MAX('Pelan Pengambilan'!H124,'Pelan Pengambilan'!J124,'Pelan Pengambilan'!L124,'Pelan Pengambilan'!N124,'Pelan Pengambilan'!P124,'Pelan Pengambilan'!R124,'Pelan Pengambilan'!T124,'Pelan Pengambilan'!V124,'Pelan Pengambilan'!X124,'Pelan Pengambilan'!Z124,'Pelan Pengambilan'!AB124,'Pelan Pengambilan'!AD124),"")</f>
        <v>0</v>
      </c>
      <c r="DL242" s="3">
        <f>IFERROR(MIN('Pelan Pengambilan'!I124,'Pelan Pengambilan'!K124,'Pelan Pengambilan'!M124,'Pelan Pengambilan'!O124,'Pelan Pengambilan'!Q124,'Pelan Pengambilan'!S124,'Pelan Pengambilan'!U124,'Pelan Pengambilan'!W124,'Pelan Pengambilan'!Y124,'Pelan Pengambilan'!AA124,'Pelan Pengambilan'!AC124,'Pelan Pengambilan'!AE124),"")</f>
        <v>0</v>
      </c>
      <c r="DM242" s="3">
        <f>IFERROR(MAX('Pelan Pengambilan'!I124,'Pelan Pengambilan'!K124,'Pelan Pengambilan'!M124,'Pelan Pengambilan'!O124,'Pelan Pengambilan'!Q124,'Pelan Pengambilan'!S124,'Pelan Pengambilan'!U124,'Pelan Pengambilan'!W124,'Pelan Pengambilan'!Y124,'Pelan Pengambilan'!AA124,'Pelan Pengambilan'!AC124,'Pelan Pengambilan'!AE124),"")</f>
        <v>0</v>
      </c>
    </row>
    <row r="243" ht="19.5" customHeight="1">
      <c r="A243" s="41"/>
      <c r="B243" s="41"/>
      <c r="C243" s="41"/>
      <c r="D243" s="155" t="s">
        <v>276</v>
      </c>
      <c r="E243" s="41"/>
      <c r="F243" s="41"/>
      <c r="G243" s="158"/>
      <c r="H243" s="158"/>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c r="AF243" s="158"/>
      <c r="AG243" s="158"/>
      <c r="AH243" s="158"/>
      <c r="AI243" s="158"/>
      <c r="AJ243" s="158"/>
      <c r="AK243" s="158"/>
      <c r="AL243" s="158"/>
      <c r="AM243" s="158"/>
      <c r="AN243" s="158"/>
      <c r="AO243" s="158"/>
      <c r="AP243" s="158"/>
      <c r="AQ243" s="158"/>
      <c r="AR243" s="158"/>
      <c r="AS243" s="158"/>
      <c r="AT243" s="158"/>
      <c r="AU243" s="158"/>
      <c r="AV243" s="158"/>
      <c r="AW243" s="158"/>
      <c r="AX243" s="158"/>
      <c r="AY243" s="158"/>
      <c r="AZ243" s="158"/>
      <c r="BA243" s="158"/>
      <c r="BB243" s="158"/>
      <c r="BC243" s="158"/>
      <c r="BD243" s="158"/>
      <c r="BE243" s="158"/>
      <c r="BF243" s="158"/>
      <c r="BG243" s="158"/>
      <c r="BH243" s="158"/>
      <c r="BI243" s="158"/>
      <c r="BJ243" s="158"/>
      <c r="BK243" s="158"/>
      <c r="BL243" s="158"/>
      <c r="BM243" s="158"/>
      <c r="BN243" s="158"/>
      <c r="BO243" s="158"/>
      <c r="BP243" s="158"/>
      <c r="BQ243" s="158"/>
      <c r="BR243" s="158"/>
      <c r="BS243" s="158"/>
      <c r="BT243" s="158"/>
      <c r="BU243" s="158"/>
      <c r="BV243" s="158"/>
      <c r="BW243" s="158"/>
      <c r="BX243" s="158"/>
      <c r="BY243" s="158"/>
      <c r="BZ243" s="158"/>
      <c r="CA243" s="158"/>
      <c r="CB243" s="158"/>
      <c r="CC243" s="158"/>
      <c r="CD243" s="158"/>
      <c r="CE243" s="158"/>
      <c r="CF243" s="158"/>
      <c r="CG243" s="158"/>
      <c r="CH243" s="158"/>
      <c r="CI243" s="158"/>
      <c r="CJ243" s="158"/>
      <c r="CK243" s="158"/>
      <c r="CL243" s="158"/>
      <c r="CM243" s="158"/>
      <c r="CN243" s="158"/>
      <c r="CO243" s="158"/>
      <c r="CP243" s="158"/>
      <c r="CQ243" s="158"/>
      <c r="CR243" s="158"/>
      <c r="CS243" s="158"/>
      <c r="CT243" s="158"/>
      <c r="CU243" s="158"/>
      <c r="CV243" s="158"/>
      <c r="CW243" s="158"/>
      <c r="CX243" s="158"/>
      <c r="CY243" s="158"/>
      <c r="CZ243" s="158"/>
      <c r="DA243" s="158"/>
      <c r="DB243" s="158"/>
      <c r="DC243" s="158"/>
      <c r="DD243" s="158"/>
      <c r="DE243" s="158"/>
      <c r="DF243" s="158"/>
      <c r="DG243" s="158"/>
      <c r="DH243" s="41"/>
      <c r="DI243" s="41"/>
      <c r="DJ243" s="3"/>
      <c r="DK243" s="3"/>
      <c r="DL243" s="3"/>
      <c r="DM243" s="3"/>
    </row>
    <row r="244" ht="19.5" customHeight="1">
      <c r="A244" s="153" t="str">
        <f>'Pelan Pengambilan'!B125</f>
        <v/>
      </c>
      <c r="B244" s="154" t="str">
        <f>'Pelan Pengambilan'!C125</f>
        <v/>
      </c>
      <c r="C244" s="153" t="str">
        <f t="array" ref="C244">IFERROR(IF(INDEX(Strategi!$F$5:$F$134,MATCH(LARGE(Strategi!$K$5:$K$134,120),Strategi!$K$5:$K$134,0))="","","("&amp;COUNTIFS('Pelan Pengambilan'!$B$6:$B$125,'Pelan Pengambilan'!$B125,'Pelan Pengambilan'!$C$6:$C$125,'Pelan Pengambilan'!$C125)&amp;") "&amp;INDEX(Strategi!$F$5:$F$134,MATCH(LARGE(Strategi!$K$5:$K$134,120),Strategi!$K$5:$K$134,0))),"")</f>
        <v/>
      </c>
      <c r="D244" s="155" t="s">
        <v>275</v>
      </c>
      <c r="E244" s="156" t="str">
        <f>IFERROR(IF(COUNT('Pelan Pengambilan'!H125,'Pelan Pengambilan'!J125,'Pelan Pengambilan'!L125,'Pelan Pengambilan'!N125,'Pelan Pengambilan'!P125,'Pelan Pengambilan'!R125,'Pelan Pengambilan'!T125,'Pelan Pengambilan'!V125,'Pelan Pengambilan'!X125,'Pelan Pengambilan'!Z125,'Pelan Pengambilan'!AB125,'Pelan Pengambilan'!AD125)=0,"",COUNT('Pelan Pengambilan'!I125,'Pelan Pengambilan'!K125,'Pelan Pengambilan'!M125,'Pelan Pengambilan'!O125,'Pelan Pengambilan'!Q125,'Pelan Pengambilan'!S125,'Pelan Pengambilan'!U125,'Pelan Pengambilan'!W125,'Pelan Pengambilan'!Y125,'Pelan Pengambilan'!AA125,'Pelan Pengambilan'!AC125,'Pelan Pengambilan'!AE125)/COUNT('Pelan Pengambilan'!H125,'Pelan Pengambilan'!J125,'Pelan Pengambilan'!L125,'Pelan Pengambilan'!N125,'Pelan Pengambilan'!P125,'Pelan Pengambilan'!R125,'Pelan Pengambilan'!T125,'Pelan Pengambilan'!V125,'Pelan Pengambilan'!X125,'Pelan Pengambilan'!Z125,'Pelan Pengambilan'!AB125,'Pelan Pengambilan'!AD125)),"")</f>
        <v/>
      </c>
      <c r="F244" s="157" t="str">
        <f>IFERROR(IF('Pelan Pengambilan'!G125="","",'Pelan Pengambilan'!G125),"")</f>
        <v/>
      </c>
      <c r="G244" s="158"/>
      <c r="H244" s="158"/>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c r="AF244" s="158"/>
      <c r="AG244" s="158"/>
      <c r="AH244" s="158"/>
      <c r="AI244" s="158"/>
      <c r="AJ244" s="158"/>
      <c r="AK244" s="158"/>
      <c r="AL244" s="158"/>
      <c r="AM244" s="158"/>
      <c r="AN244" s="158"/>
      <c r="AO244" s="158"/>
      <c r="AP244" s="158"/>
      <c r="AQ244" s="158"/>
      <c r="AR244" s="158"/>
      <c r="AS244" s="158"/>
      <c r="AT244" s="158"/>
      <c r="AU244" s="158"/>
      <c r="AV244" s="158"/>
      <c r="AW244" s="158"/>
      <c r="AX244" s="158"/>
      <c r="AY244" s="158"/>
      <c r="AZ244" s="158"/>
      <c r="BA244" s="158"/>
      <c r="BB244" s="158"/>
      <c r="BC244" s="158"/>
      <c r="BD244" s="158"/>
      <c r="BE244" s="158"/>
      <c r="BF244" s="158"/>
      <c r="BG244" s="158"/>
      <c r="BH244" s="158"/>
      <c r="BI244" s="158"/>
      <c r="BJ244" s="158"/>
      <c r="BK244" s="158"/>
      <c r="BL244" s="158"/>
      <c r="BM244" s="158"/>
      <c r="BN244" s="158"/>
      <c r="BO244" s="158"/>
      <c r="BP244" s="158"/>
      <c r="BQ244" s="158"/>
      <c r="BR244" s="158"/>
      <c r="BS244" s="158"/>
      <c r="BT244" s="158"/>
      <c r="BU244" s="158"/>
      <c r="BV244" s="158"/>
      <c r="BW244" s="158"/>
      <c r="BX244" s="158"/>
      <c r="BY244" s="158"/>
      <c r="BZ244" s="158"/>
      <c r="CA244" s="158"/>
      <c r="CB244" s="158"/>
      <c r="CC244" s="158"/>
      <c r="CD244" s="158"/>
      <c r="CE244" s="158"/>
      <c r="CF244" s="158"/>
      <c r="CG244" s="158"/>
      <c r="CH244" s="158"/>
      <c r="CI244" s="158"/>
      <c r="CJ244" s="158"/>
      <c r="CK244" s="158"/>
      <c r="CL244" s="158"/>
      <c r="CM244" s="158"/>
      <c r="CN244" s="158"/>
      <c r="CO244" s="158"/>
      <c r="CP244" s="158"/>
      <c r="CQ244" s="158"/>
      <c r="CR244" s="158"/>
      <c r="CS244" s="158"/>
      <c r="CT244" s="158"/>
      <c r="CU244" s="158"/>
      <c r="CV244" s="158"/>
      <c r="CW244" s="158"/>
      <c r="CX244" s="158"/>
      <c r="CY244" s="158"/>
      <c r="CZ244" s="158"/>
      <c r="DA244" s="158"/>
      <c r="DB244" s="158"/>
      <c r="DC244" s="158"/>
      <c r="DD244" s="158"/>
      <c r="DE244" s="158"/>
      <c r="DF244" s="158"/>
      <c r="DG244" s="158"/>
      <c r="DH244" s="154" t="str">
        <f>'Pelan Pengambilan'!AF125</f>
        <v/>
      </c>
      <c r="DI244" s="154"/>
      <c r="DJ244" s="3">
        <f>IFERROR(MIN('Pelan Pengambilan'!H125,'Pelan Pengambilan'!J125,'Pelan Pengambilan'!L125,'Pelan Pengambilan'!N125,'Pelan Pengambilan'!P125,'Pelan Pengambilan'!R125,'Pelan Pengambilan'!T125,'Pelan Pengambilan'!V125,'Pelan Pengambilan'!X125,'Pelan Pengambilan'!Z125,'Pelan Pengambilan'!AB125,'Pelan Pengambilan'!AD125),"")</f>
        <v>0</v>
      </c>
      <c r="DK244" s="3">
        <f>IFERROR(MAX('Pelan Pengambilan'!H125,'Pelan Pengambilan'!J125,'Pelan Pengambilan'!L125,'Pelan Pengambilan'!N125,'Pelan Pengambilan'!P125,'Pelan Pengambilan'!R125,'Pelan Pengambilan'!T125,'Pelan Pengambilan'!V125,'Pelan Pengambilan'!X125,'Pelan Pengambilan'!Z125,'Pelan Pengambilan'!AB125,'Pelan Pengambilan'!AD125),"")</f>
        <v>0</v>
      </c>
      <c r="DL244" s="3">
        <f>IFERROR(MIN('Pelan Pengambilan'!I125,'Pelan Pengambilan'!K125,'Pelan Pengambilan'!M125,'Pelan Pengambilan'!O125,'Pelan Pengambilan'!Q125,'Pelan Pengambilan'!S125,'Pelan Pengambilan'!U125,'Pelan Pengambilan'!W125,'Pelan Pengambilan'!Y125,'Pelan Pengambilan'!AA125,'Pelan Pengambilan'!AC125,'Pelan Pengambilan'!AE125),"")</f>
        <v>0</v>
      </c>
      <c r="DM244" s="3">
        <f>IFERROR(MAX('Pelan Pengambilan'!I125,'Pelan Pengambilan'!K125,'Pelan Pengambilan'!M125,'Pelan Pengambilan'!O125,'Pelan Pengambilan'!Q125,'Pelan Pengambilan'!S125,'Pelan Pengambilan'!U125,'Pelan Pengambilan'!W125,'Pelan Pengambilan'!Y125,'Pelan Pengambilan'!AA125,'Pelan Pengambilan'!AC125,'Pelan Pengambilan'!AE125),"")</f>
        <v>0</v>
      </c>
    </row>
    <row r="245" ht="19.5" customHeight="1">
      <c r="A245" s="41"/>
      <c r="B245" s="41"/>
      <c r="C245" s="41"/>
      <c r="D245" s="155" t="s">
        <v>276</v>
      </c>
      <c r="E245" s="41"/>
      <c r="F245" s="41"/>
      <c r="G245" s="158"/>
      <c r="H245" s="158"/>
      <c r="I245" s="158"/>
      <c r="J245" s="158"/>
      <c r="K245" s="158"/>
      <c r="L245" s="158"/>
      <c r="M245" s="158"/>
      <c r="N245" s="158"/>
      <c r="O245" s="158"/>
      <c r="P245" s="158"/>
      <c r="Q245" s="158"/>
      <c r="R245" s="158"/>
      <c r="S245" s="158"/>
      <c r="T245" s="158"/>
      <c r="U245" s="158"/>
      <c r="V245" s="158"/>
      <c r="W245" s="158"/>
      <c r="X245" s="158"/>
      <c r="Y245" s="158"/>
      <c r="Z245" s="158"/>
      <c r="AA245" s="158"/>
      <c r="AB245" s="158"/>
      <c r="AC245" s="158"/>
      <c r="AD245" s="158"/>
      <c r="AE245" s="158"/>
      <c r="AF245" s="158"/>
      <c r="AG245" s="158"/>
      <c r="AH245" s="158"/>
      <c r="AI245" s="158"/>
      <c r="AJ245" s="158"/>
      <c r="AK245" s="158"/>
      <c r="AL245" s="158"/>
      <c r="AM245" s="158"/>
      <c r="AN245" s="158"/>
      <c r="AO245" s="158"/>
      <c r="AP245" s="158"/>
      <c r="AQ245" s="158"/>
      <c r="AR245" s="158"/>
      <c r="AS245" s="158"/>
      <c r="AT245" s="158"/>
      <c r="AU245" s="158"/>
      <c r="AV245" s="158"/>
      <c r="AW245" s="158"/>
      <c r="AX245" s="158"/>
      <c r="AY245" s="158"/>
      <c r="AZ245" s="158"/>
      <c r="BA245" s="158"/>
      <c r="BB245" s="158"/>
      <c r="BC245" s="158"/>
      <c r="BD245" s="158"/>
      <c r="BE245" s="158"/>
      <c r="BF245" s="158"/>
      <c r="BG245" s="158"/>
      <c r="BH245" s="158"/>
      <c r="BI245" s="158"/>
      <c r="BJ245" s="158"/>
      <c r="BK245" s="158"/>
      <c r="BL245" s="158"/>
      <c r="BM245" s="158"/>
      <c r="BN245" s="158"/>
      <c r="BO245" s="158"/>
      <c r="BP245" s="158"/>
      <c r="BQ245" s="158"/>
      <c r="BR245" s="158"/>
      <c r="BS245" s="158"/>
      <c r="BT245" s="158"/>
      <c r="BU245" s="158"/>
      <c r="BV245" s="158"/>
      <c r="BW245" s="158"/>
      <c r="BX245" s="158"/>
      <c r="BY245" s="158"/>
      <c r="BZ245" s="158"/>
      <c r="CA245" s="158"/>
      <c r="CB245" s="158"/>
      <c r="CC245" s="158"/>
      <c r="CD245" s="158"/>
      <c r="CE245" s="158"/>
      <c r="CF245" s="158"/>
      <c r="CG245" s="158"/>
      <c r="CH245" s="158"/>
      <c r="CI245" s="158"/>
      <c r="CJ245" s="158"/>
      <c r="CK245" s="158"/>
      <c r="CL245" s="158"/>
      <c r="CM245" s="158"/>
      <c r="CN245" s="158"/>
      <c r="CO245" s="158"/>
      <c r="CP245" s="158"/>
      <c r="CQ245" s="158"/>
      <c r="CR245" s="158"/>
      <c r="CS245" s="158"/>
      <c r="CT245" s="158"/>
      <c r="CU245" s="158"/>
      <c r="CV245" s="158"/>
      <c r="CW245" s="158"/>
      <c r="CX245" s="158"/>
      <c r="CY245" s="158"/>
      <c r="CZ245" s="158"/>
      <c r="DA245" s="158"/>
      <c r="DB245" s="158"/>
      <c r="DC245" s="158"/>
      <c r="DD245" s="158"/>
      <c r="DE245" s="158"/>
      <c r="DF245" s="158"/>
      <c r="DG245" s="158"/>
      <c r="DH245" s="41"/>
      <c r="DI245" s="41"/>
      <c r="DJ245" s="3"/>
      <c r="DK245" s="3"/>
      <c r="DL245" s="3"/>
      <c r="DM245" s="3"/>
    </row>
    <row r="246" ht="19.5" customHeight="1">
      <c r="A246" s="153" t="str">
        <f>'Pelan Pengambilan'!B126</f>
        <v/>
      </c>
      <c r="B246" s="154" t="str">
        <f>'Pelan Pengambilan'!C126</f>
        <v/>
      </c>
      <c r="C246" s="153" t="str">
        <f t="array" ref="C246">IFERROR(IF(INDEX(Strategi!$F$5:$F$134,MATCH(LARGE(Strategi!$K$5:$K$134,121),Strategi!$K$5:$K$134,0))="","","("&amp;COUNTIFS('Pelan Pengambilan'!$B$6:$B$126,'Pelan Pengambilan'!$B126,'Pelan Pengambilan'!$C$6:$C$126,'Pelan Pengambilan'!$C126)&amp;") "&amp;INDEX(Strategi!$F$5:$F$134,MATCH(LARGE(Strategi!$K$5:$K$134,121),Strategi!$K$5:$K$134,0))),"")</f>
        <v/>
      </c>
      <c r="D246" s="155" t="s">
        <v>275</v>
      </c>
      <c r="E246" s="156" t="str">
        <f>IFERROR(IF(COUNT('Pelan Pengambilan'!H126,'Pelan Pengambilan'!J126,'Pelan Pengambilan'!L126,'Pelan Pengambilan'!N126,'Pelan Pengambilan'!P126,'Pelan Pengambilan'!R126,'Pelan Pengambilan'!T126,'Pelan Pengambilan'!V126,'Pelan Pengambilan'!X126,'Pelan Pengambilan'!Z126,'Pelan Pengambilan'!AB126,'Pelan Pengambilan'!AD126)=0,"",COUNT('Pelan Pengambilan'!I126,'Pelan Pengambilan'!K126,'Pelan Pengambilan'!M126,'Pelan Pengambilan'!O126,'Pelan Pengambilan'!Q126,'Pelan Pengambilan'!S126,'Pelan Pengambilan'!U126,'Pelan Pengambilan'!W126,'Pelan Pengambilan'!Y126,'Pelan Pengambilan'!AA126,'Pelan Pengambilan'!AC126,'Pelan Pengambilan'!AE126)/COUNT('Pelan Pengambilan'!H126,'Pelan Pengambilan'!J126,'Pelan Pengambilan'!L126,'Pelan Pengambilan'!N126,'Pelan Pengambilan'!P126,'Pelan Pengambilan'!R126,'Pelan Pengambilan'!T126,'Pelan Pengambilan'!V126,'Pelan Pengambilan'!X126,'Pelan Pengambilan'!Z126,'Pelan Pengambilan'!AB126,'Pelan Pengambilan'!AD126)),"")</f>
        <v/>
      </c>
      <c r="F246" s="157" t="str">
        <f>IFERROR(IF('Pelan Pengambilan'!G126="","",'Pelan Pengambilan'!G126),"")</f>
        <v/>
      </c>
      <c r="G246" s="158"/>
      <c r="H246" s="158"/>
      <c r="I246" s="158"/>
      <c r="J246" s="158"/>
      <c r="K246" s="158"/>
      <c r="L246" s="158"/>
      <c r="M246" s="158"/>
      <c r="N246" s="158"/>
      <c r="O246" s="158"/>
      <c r="P246" s="158"/>
      <c r="Q246" s="158"/>
      <c r="R246" s="158"/>
      <c r="S246" s="158"/>
      <c r="T246" s="158"/>
      <c r="U246" s="158"/>
      <c r="V246" s="158"/>
      <c r="W246" s="158"/>
      <c r="X246" s="158"/>
      <c r="Y246" s="158"/>
      <c r="Z246" s="158"/>
      <c r="AA246" s="158"/>
      <c r="AB246" s="158"/>
      <c r="AC246" s="158"/>
      <c r="AD246" s="158"/>
      <c r="AE246" s="158"/>
      <c r="AF246" s="158"/>
      <c r="AG246" s="158"/>
      <c r="AH246" s="158"/>
      <c r="AI246" s="158"/>
      <c r="AJ246" s="158"/>
      <c r="AK246" s="158"/>
      <c r="AL246" s="158"/>
      <c r="AM246" s="158"/>
      <c r="AN246" s="158"/>
      <c r="AO246" s="158"/>
      <c r="AP246" s="158"/>
      <c r="AQ246" s="158"/>
      <c r="AR246" s="158"/>
      <c r="AS246" s="158"/>
      <c r="AT246" s="158"/>
      <c r="AU246" s="158"/>
      <c r="AV246" s="158"/>
      <c r="AW246" s="158"/>
      <c r="AX246" s="158"/>
      <c r="AY246" s="158"/>
      <c r="AZ246" s="158"/>
      <c r="BA246" s="158"/>
      <c r="BB246" s="158"/>
      <c r="BC246" s="158"/>
      <c r="BD246" s="158"/>
      <c r="BE246" s="158"/>
      <c r="BF246" s="158"/>
      <c r="BG246" s="158"/>
      <c r="BH246" s="158"/>
      <c r="BI246" s="158"/>
      <c r="BJ246" s="158"/>
      <c r="BK246" s="158"/>
      <c r="BL246" s="158"/>
      <c r="BM246" s="158"/>
      <c r="BN246" s="158"/>
      <c r="BO246" s="158"/>
      <c r="BP246" s="158"/>
      <c r="BQ246" s="158"/>
      <c r="BR246" s="158"/>
      <c r="BS246" s="158"/>
      <c r="BT246" s="158"/>
      <c r="BU246" s="158"/>
      <c r="BV246" s="158"/>
      <c r="BW246" s="158"/>
      <c r="BX246" s="158"/>
      <c r="BY246" s="158"/>
      <c r="BZ246" s="158"/>
      <c r="CA246" s="158"/>
      <c r="CB246" s="158"/>
      <c r="CC246" s="158"/>
      <c r="CD246" s="158"/>
      <c r="CE246" s="158"/>
      <c r="CF246" s="158"/>
      <c r="CG246" s="158"/>
      <c r="CH246" s="158"/>
      <c r="CI246" s="158"/>
      <c r="CJ246" s="158"/>
      <c r="CK246" s="158"/>
      <c r="CL246" s="158"/>
      <c r="CM246" s="158"/>
      <c r="CN246" s="158"/>
      <c r="CO246" s="158"/>
      <c r="CP246" s="158"/>
      <c r="CQ246" s="158"/>
      <c r="CR246" s="158"/>
      <c r="CS246" s="158"/>
      <c r="CT246" s="158"/>
      <c r="CU246" s="158"/>
      <c r="CV246" s="158"/>
      <c r="CW246" s="158"/>
      <c r="CX246" s="158"/>
      <c r="CY246" s="158"/>
      <c r="CZ246" s="158"/>
      <c r="DA246" s="158"/>
      <c r="DB246" s="158"/>
      <c r="DC246" s="158"/>
      <c r="DD246" s="158"/>
      <c r="DE246" s="158"/>
      <c r="DF246" s="158"/>
      <c r="DG246" s="158"/>
      <c r="DH246" s="154" t="str">
        <f>'Pelan Pengambilan'!AF126</f>
        <v/>
      </c>
      <c r="DI246" s="154"/>
      <c r="DJ246" s="3">
        <f>IFERROR(MIN('Pelan Pengambilan'!H126,'Pelan Pengambilan'!J126,'Pelan Pengambilan'!L126,'Pelan Pengambilan'!N126,'Pelan Pengambilan'!P126,'Pelan Pengambilan'!R126,'Pelan Pengambilan'!T126,'Pelan Pengambilan'!V126,'Pelan Pengambilan'!X126,'Pelan Pengambilan'!Z126,'Pelan Pengambilan'!AB126,'Pelan Pengambilan'!AD126),"")</f>
        <v>0</v>
      </c>
      <c r="DK246" s="3">
        <f>IFERROR(MAX('Pelan Pengambilan'!H126,'Pelan Pengambilan'!J126,'Pelan Pengambilan'!L126,'Pelan Pengambilan'!N126,'Pelan Pengambilan'!P126,'Pelan Pengambilan'!R126,'Pelan Pengambilan'!T126,'Pelan Pengambilan'!V126,'Pelan Pengambilan'!X126,'Pelan Pengambilan'!Z126,'Pelan Pengambilan'!AB126,'Pelan Pengambilan'!AD126),"")</f>
        <v>0</v>
      </c>
      <c r="DL246" s="3">
        <f>IFERROR(MIN('Pelan Pengambilan'!I126,'Pelan Pengambilan'!K126,'Pelan Pengambilan'!M126,'Pelan Pengambilan'!O126,'Pelan Pengambilan'!Q126,'Pelan Pengambilan'!S126,'Pelan Pengambilan'!U126,'Pelan Pengambilan'!W126,'Pelan Pengambilan'!Y126,'Pelan Pengambilan'!AA126,'Pelan Pengambilan'!AC126,'Pelan Pengambilan'!AE126),"")</f>
        <v>0</v>
      </c>
      <c r="DM246" s="3">
        <f>IFERROR(MAX('Pelan Pengambilan'!I126,'Pelan Pengambilan'!K126,'Pelan Pengambilan'!M126,'Pelan Pengambilan'!O126,'Pelan Pengambilan'!Q126,'Pelan Pengambilan'!S126,'Pelan Pengambilan'!U126,'Pelan Pengambilan'!W126,'Pelan Pengambilan'!Y126,'Pelan Pengambilan'!AA126,'Pelan Pengambilan'!AC126,'Pelan Pengambilan'!AE126),"")</f>
        <v>0</v>
      </c>
    </row>
    <row r="247" ht="19.5" customHeight="1">
      <c r="A247" s="41"/>
      <c r="B247" s="41"/>
      <c r="C247" s="41"/>
      <c r="D247" s="155" t="s">
        <v>276</v>
      </c>
      <c r="E247" s="41"/>
      <c r="F247" s="41"/>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8"/>
      <c r="AY247" s="158"/>
      <c r="AZ247" s="158"/>
      <c r="BA247" s="158"/>
      <c r="BB247" s="158"/>
      <c r="BC247" s="158"/>
      <c r="BD247" s="158"/>
      <c r="BE247" s="158"/>
      <c r="BF247" s="158"/>
      <c r="BG247" s="158"/>
      <c r="BH247" s="158"/>
      <c r="BI247" s="158"/>
      <c r="BJ247" s="158"/>
      <c r="BK247" s="158"/>
      <c r="BL247" s="158"/>
      <c r="BM247" s="158"/>
      <c r="BN247" s="158"/>
      <c r="BO247" s="158"/>
      <c r="BP247" s="158"/>
      <c r="BQ247" s="158"/>
      <c r="BR247" s="158"/>
      <c r="BS247" s="158"/>
      <c r="BT247" s="158"/>
      <c r="BU247" s="158"/>
      <c r="BV247" s="158"/>
      <c r="BW247" s="158"/>
      <c r="BX247" s="158"/>
      <c r="BY247" s="158"/>
      <c r="BZ247" s="158"/>
      <c r="CA247" s="158"/>
      <c r="CB247" s="158"/>
      <c r="CC247" s="158"/>
      <c r="CD247" s="158"/>
      <c r="CE247" s="158"/>
      <c r="CF247" s="158"/>
      <c r="CG247" s="158"/>
      <c r="CH247" s="158"/>
      <c r="CI247" s="158"/>
      <c r="CJ247" s="158"/>
      <c r="CK247" s="158"/>
      <c r="CL247" s="158"/>
      <c r="CM247" s="158"/>
      <c r="CN247" s="158"/>
      <c r="CO247" s="158"/>
      <c r="CP247" s="158"/>
      <c r="CQ247" s="158"/>
      <c r="CR247" s="158"/>
      <c r="CS247" s="158"/>
      <c r="CT247" s="158"/>
      <c r="CU247" s="158"/>
      <c r="CV247" s="158"/>
      <c r="CW247" s="158"/>
      <c r="CX247" s="158"/>
      <c r="CY247" s="158"/>
      <c r="CZ247" s="158"/>
      <c r="DA247" s="158"/>
      <c r="DB247" s="158"/>
      <c r="DC247" s="158"/>
      <c r="DD247" s="158"/>
      <c r="DE247" s="158"/>
      <c r="DF247" s="158"/>
      <c r="DG247" s="158"/>
      <c r="DH247" s="41"/>
      <c r="DI247" s="41"/>
      <c r="DJ247" s="3"/>
      <c r="DK247" s="3"/>
      <c r="DL247" s="3"/>
      <c r="DM247" s="3"/>
    </row>
    <row r="248" ht="19.5" customHeight="1">
      <c r="A248" s="153" t="str">
        <f>'Pelan Pengambilan'!B127</f>
        <v/>
      </c>
      <c r="B248" s="154" t="str">
        <f>'Pelan Pengambilan'!C127</f>
        <v/>
      </c>
      <c r="C248" s="153" t="str">
        <f t="array" ref="C248">IFERROR(IF(INDEX(Strategi!$F$5:$F$134,MATCH(LARGE(Strategi!$K$5:$K$134,122),Strategi!$K$5:$K$134,0))="","","("&amp;COUNTIFS('Pelan Pengambilan'!$B$6:$B$127,'Pelan Pengambilan'!$B127,'Pelan Pengambilan'!$C$6:$C$127,'Pelan Pengambilan'!$C127)&amp;") "&amp;INDEX(Strategi!$F$5:$F$134,MATCH(LARGE(Strategi!$K$5:$K$134,122),Strategi!$K$5:$K$134,0))),"")</f>
        <v/>
      </c>
      <c r="D248" s="155" t="s">
        <v>275</v>
      </c>
      <c r="E248" s="156" t="str">
        <f>IFERROR(IF(COUNT('Pelan Pengambilan'!H127,'Pelan Pengambilan'!J127,'Pelan Pengambilan'!L127,'Pelan Pengambilan'!N127,'Pelan Pengambilan'!P127,'Pelan Pengambilan'!R127,'Pelan Pengambilan'!T127,'Pelan Pengambilan'!V127,'Pelan Pengambilan'!X127,'Pelan Pengambilan'!Z127,'Pelan Pengambilan'!AB127,'Pelan Pengambilan'!AD127)=0,"",COUNT('Pelan Pengambilan'!I127,'Pelan Pengambilan'!K127,'Pelan Pengambilan'!M127,'Pelan Pengambilan'!O127,'Pelan Pengambilan'!Q127,'Pelan Pengambilan'!S127,'Pelan Pengambilan'!U127,'Pelan Pengambilan'!W127,'Pelan Pengambilan'!Y127,'Pelan Pengambilan'!AA127,'Pelan Pengambilan'!AC127,'Pelan Pengambilan'!AE127)/COUNT('Pelan Pengambilan'!H127,'Pelan Pengambilan'!J127,'Pelan Pengambilan'!L127,'Pelan Pengambilan'!N127,'Pelan Pengambilan'!P127,'Pelan Pengambilan'!R127,'Pelan Pengambilan'!T127,'Pelan Pengambilan'!V127,'Pelan Pengambilan'!X127,'Pelan Pengambilan'!Z127,'Pelan Pengambilan'!AB127,'Pelan Pengambilan'!AD127)),"")</f>
        <v/>
      </c>
      <c r="F248" s="157" t="str">
        <f>IFERROR(IF('Pelan Pengambilan'!G127="","",'Pelan Pengambilan'!G127),"")</f>
        <v/>
      </c>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8"/>
      <c r="AY248" s="158"/>
      <c r="AZ248" s="158"/>
      <c r="BA248" s="158"/>
      <c r="BB248" s="158"/>
      <c r="BC248" s="158"/>
      <c r="BD248" s="158"/>
      <c r="BE248" s="158"/>
      <c r="BF248" s="158"/>
      <c r="BG248" s="158"/>
      <c r="BH248" s="158"/>
      <c r="BI248" s="158"/>
      <c r="BJ248" s="158"/>
      <c r="BK248" s="158"/>
      <c r="BL248" s="158"/>
      <c r="BM248" s="158"/>
      <c r="BN248" s="158"/>
      <c r="BO248" s="158"/>
      <c r="BP248" s="158"/>
      <c r="BQ248" s="158"/>
      <c r="BR248" s="158"/>
      <c r="BS248" s="158"/>
      <c r="BT248" s="158"/>
      <c r="BU248" s="158"/>
      <c r="BV248" s="158"/>
      <c r="BW248" s="158"/>
      <c r="BX248" s="158"/>
      <c r="BY248" s="158"/>
      <c r="BZ248" s="158"/>
      <c r="CA248" s="158"/>
      <c r="CB248" s="158"/>
      <c r="CC248" s="158"/>
      <c r="CD248" s="158"/>
      <c r="CE248" s="158"/>
      <c r="CF248" s="158"/>
      <c r="CG248" s="158"/>
      <c r="CH248" s="158"/>
      <c r="CI248" s="158"/>
      <c r="CJ248" s="158"/>
      <c r="CK248" s="158"/>
      <c r="CL248" s="158"/>
      <c r="CM248" s="158"/>
      <c r="CN248" s="158"/>
      <c r="CO248" s="158"/>
      <c r="CP248" s="158"/>
      <c r="CQ248" s="158"/>
      <c r="CR248" s="158"/>
      <c r="CS248" s="158"/>
      <c r="CT248" s="158"/>
      <c r="CU248" s="158"/>
      <c r="CV248" s="158"/>
      <c r="CW248" s="158"/>
      <c r="CX248" s="158"/>
      <c r="CY248" s="158"/>
      <c r="CZ248" s="158"/>
      <c r="DA248" s="158"/>
      <c r="DB248" s="158"/>
      <c r="DC248" s="158"/>
      <c r="DD248" s="158"/>
      <c r="DE248" s="158"/>
      <c r="DF248" s="158"/>
      <c r="DG248" s="158"/>
      <c r="DH248" s="154" t="str">
        <f>'Pelan Pengambilan'!AF127</f>
        <v/>
      </c>
      <c r="DI248" s="154"/>
      <c r="DJ248" s="3">
        <f>IFERROR(MIN('Pelan Pengambilan'!H127,'Pelan Pengambilan'!J127,'Pelan Pengambilan'!L127,'Pelan Pengambilan'!N127,'Pelan Pengambilan'!P127,'Pelan Pengambilan'!R127,'Pelan Pengambilan'!T127,'Pelan Pengambilan'!V127,'Pelan Pengambilan'!X127,'Pelan Pengambilan'!Z127,'Pelan Pengambilan'!AB127,'Pelan Pengambilan'!AD127),"")</f>
        <v>0</v>
      </c>
      <c r="DK248" s="3">
        <f>IFERROR(MAX('Pelan Pengambilan'!H127,'Pelan Pengambilan'!J127,'Pelan Pengambilan'!L127,'Pelan Pengambilan'!N127,'Pelan Pengambilan'!P127,'Pelan Pengambilan'!R127,'Pelan Pengambilan'!T127,'Pelan Pengambilan'!V127,'Pelan Pengambilan'!X127,'Pelan Pengambilan'!Z127,'Pelan Pengambilan'!AB127,'Pelan Pengambilan'!AD127),"")</f>
        <v>0</v>
      </c>
      <c r="DL248" s="3">
        <f>IFERROR(MIN('Pelan Pengambilan'!I127,'Pelan Pengambilan'!K127,'Pelan Pengambilan'!M127,'Pelan Pengambilan'!O127,'Pelan Pengambilan'!Q127,'Pelan Pengambilan'!S127,'Pelan Pengambilan'!U127,'Pelan Pengambilan'!W127,'Pelan Pengambilan'!Y127,'Pelan Pengambilan'!AA127,'Pelan Pengambilan'!AC127,'Pelan Pengambilan'!AE127),"")</f>
        <v>0</v>
      </c>
      <c r="DM248" s="3">
        <f>IFERROR(MAX('Pelan Pengambilan'!I127,'Pelan Pengambilan'!K127,'Pelan Pengambilan'!M127,'Pelan Pengambilan'!O127,'Pelan Pengambilan'!Q127,'Pelan Pengambilan'!S127,'Pelan Pengambilan'!U127,'Pelan Pengambilan'!W127,'Pelan Pengambilan'!Y127,'Pelan Pengambilan'!AA127,'Pelan Pengambilan'!AC127,'Pelan Pengambilan'!AE127),"")</f>
        <v>0</v>
      </c>
    </row>
    <row r="249" ht="19.5" customHeight="1">
      <c r="A249" s="41"/>
      <c r="B249" s="41"/>
      <c r="C249" s="41"/>
      <c r="D249" s="155" t="s">
        <v>276</v>
      </c>
      <c r="E249" s="41"/>
      <c r="F249" s="41"/>
      <c r="G249" s="158"/>
      <c r="H249" s="158"/>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c r="AF249" s="158"/>
      <c r="AG249" s="158"/>
      <c r="AH249" s="158"/>
      <c r="AI249" s="158"/>
      <c r="AJ249" s="158"/>
      <c r="AK249" s="158"/>
      <c r="AL249" s="158"/>
      <c r="AM249" s="158"/>
      <c r="AN249" s="158"/>
      <c r="AO249" s="158"/>
      <c r="AP249" s="158"/>
      <c r="AQ249" s="158"/>
      <c r="AR249" s="158"/>
      <c r="AS249" s="158"/>
      <c r="AT249" s="158"/>
      <c r="AU249" s="158"/>
      <c r="AV249" s="158"/>
      <c r="AW249" s="158"/>
      <c r="AX249" s="158"/>
      <c r="AY249" s="158"/>
      <c r="AZ249" s="158"/>
      <c r="BA249" s="158"/>
      <c r="BB249" s="158"/>
      <c r="BC249" s="158"/>
      <c r="BD249" s="158"/>
      <c r="BE249" s="158"/>
      <c r="BF249" s="158"/>
      <c r="BG249" s="158"/>
      <c r="BH249" s="158"/>
      <c r="BI249" s="158"/>
      <c r="BJ249" s="158"/>
      <c r="BK249" s="158"/>
      <c r="BL249" s="158"/>
      <c r="BM249" s="158"/>
      <c r="BN249" s="158"/>
      <c r="BO249" s="158"/>
      <c r="BP249" s="158"/>
      <c r="BQ249" s="158"/>
      <c r="BR249" s="158"/>
      <c r="BS249" s="158"/>
      <c r="BT249" s="158"/>
      <c r="BU249" s="158"/>
      <c r="BV249" s="158"/>
      <c r="BW249" s="158"/>
      <c r="BX249" s="158"/>
      <c r="BY249" s="158"/>
      <c r="BZ249" s="158"/>
      <c r="CA249" s="158"/>
      <c r="CB249" s="158"/>
      <c r="CC249" s="158"/>
      <c r="CD249" s="158"/>
      <c r="CE249" s="158"/>
      <c r="CF249" s="158"/>
      <c r="CG249" s="158"/>
      <c r="CH249" s="158"/>
      <c r="CI249" s="158"/>
      <c r="CJ249" s="158"/>
      <c r="CK249" s="158"/>
      <c r="CL249" s="158"/>
      <c r="CM249" s="158"/>
      <c r="CN249" s="158"/>
      <c r="CO249" s="158"/>
      <c r="CP249" s="158"/>
      <c r="CQ249" s="158"/>
      <c r="CR249" s="158"/>
      <c r="CS249" s="158"/>
      <c r="CT249" s="158"/>
      <c r="CU249" s="158"/>
      <c r="CV249" s="158"/>
      <c r="CW249" s="158"/>
      <c r="CX249" s="158"/>
      <c r="CY249" s="158"/>
      <c r="CZ249" s="158"/>
      <c r="DA249" s="158"/>
      <c r="DB249" s="158"/>
      <c r="DC249" s="158"/>
      <c r="DD249" s="158"/>
      <c r="DE249" s="158"/>
      <c r="DF249" s="158"/>
      <c r="DG249" s="158"/>
      <c r="DH249" s="41"/>
      <c r="DI249" s="41"/>
      <c r="DJ249" s="3"/>
      <c r="DK249" s="3"/>
      <c r="DL249" s="3"/>
      <c r="DM249" s="3"/>
    </row>
    <row r="250" ht="19.5" customHeight="1">
      <c r="A250" s="153" t="str">
        <f>'Pelan Pengambilan'!B128</f>
        <v/>
      </c>
      <c r="B250" s="154" t="str">
        <f>'Pelan Pengambilan'!C128</f>
        <v/>
      </c>
      <c r="C250" s="153" t="str">
        <f t="array" ref="C250">IFERROR(IF(INDEX(Strategi!$F$5:$F$134,MATCH(LARGE(Strategi!$K$5:$K$134,123),Strategi!$K$5:$K$134,0))="","","("&amp;COUNTIFS('Pelan Pengambilan'!$B$6:$B$128,'Pelan Pengambilan'!$B128,'Pelan Pengambilan'!$C$6:$C$128,'Pelan Pengambilan'!$C128)&amp;") "&amp;INDEX(Strategi!$F$5:$F$134,MATCH(LARGE(Strategi!$K$5:$K$134,123),Strategi!$K$5:$K$134,0))),"")</f>
        <v/>
      </c>
      <c r="D250" s="155" t="s">
        <v>275</v>
      </c>
      <c r="E250" s="156" t="str">
        <f>IFERROR(IF(COUNT('Pelan Pengambilan'!H128,'Pelan Pengambilan'!J128,'Pelan Pengambilan'!L128,'Pelan Pengambilan'!N128,'Pelan Pengambilan'!P128,'Pelan Pengambilan'!R128,'Pelan Pengambilan'!T128,'Pelan Pengambilan'!V128,'Pelan Pengambilan'!X128,'Pelan Pengambilan'!Z128,'Pelan Pengambilan'!AB128,'Pelan Pengambilan'!AD128)=0,"",COUNT('Pelan Pengambilan'!I128,'Pelan Pengambilan'!K128,'Pelan Pengambilan'!M128,'Pelan Pengambilan'!O128,'Pelan Pengambilan'!Q128,'Pelan Pengambilan'!S128,'Pelan Pengambilan'!U128,'Pelan Pengambilan'!W128,'Pelan Pengambilan'!Y128,'Pelan Pengambilan'!AA128,'Pelan Pengambilan'!AC128,'Pelan Pengambilan'!AE128)/COUNT('Pelan Pengambilan'!H128,'Pelan Pengambilan'!J128,'Pelan Pengambilan'!L128,'Pelan Pengambilan'!N128,'Pelan Pengambilan'!P128,'Pelan Pengambilan'!R128,'Pelan Pengambilan'!T128,'Pelan Pengambilan'!V128,'Pelan Pengambilan'!X128,'Pelan Pengambilan'!Z128,'Pelan Pengambilan'!AB128,'Pelan Pengambilan'!AD128)),"")</f>
        <v/>
      </c>
      <c r="F250" s="157" t="str">
        <f>IFERROR(IF('Pelan Pengambilan'!G128="","",'Pelan Pengambilan'!G128),"")</f>
        <v/>
      </c>
      <c r="G250" s="158"/>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8"/>
      <c r="AY250" s="158"/>
      <c r="AZ250" s="158"/>
      <c r="BA250" s="158"/>
      <c r="BB250" s="158"/>
      <c r="BC250" s="158"/>
      <c r="BD250" s="158"/>
      <c r="BE250" s="158"/>
      <c r="BF250" s="158"/>
      <c r="BG250" s="158"/>
      <c r="BH250" s="158"/>
      <c r="BI250" s="158"/>
      <c r="BJ250" s="158"/>
      <c r="BK250" s="158"/>
      <c r="BL250" s="158"/>
      <c r="BM250" s="158"/>
      <c r="BN250" s="158"/>
      <c r="BO250" s="158"/>
      <c r="BP250" s="158"/>
      <c r="BQ250" s="158"/>
      <c r="BR250" s="158"/>
      <c r="BS250" s="158"/>
      <c r="BT250" s="158"/>
      <c r="BU250" s="158"/>
      <c r="BV250" s="158"/>
      <c r="BW250" s="158"/>
      <c r="BX250" s="158"/>
      <c r="BY250" s="158"/>
      <c r="BZ250" s="158"/>
      <c r="CA250" s="158"/>
      <c r="CB250" s="158"/>
      <c r="CC250" s="158"/>
      <c r="CD250" s="158"/>
      <c r="CE250" s="158"/>
      <c r="CF250" s="158"/>
      <c r="CG250" s="158"/>
      <c r="CH250" s="158"/>
      <c r="CI250" s="158"/>
      <c r="CJ250" s="158"/>
      <c r="CK250" s="158"/>
      <c r="CL250" s="158"/>
      <c r="CM250" s="158"/>
      <c r="CN250" s="158"/>
      <c r="CO250" s="158"/>
      <c r="CP250" s="158"/>
      <c r="CQ250" s="158"/>
      <c r="CR250" s="158"/>
      <c r="CS250" s="158"/>
      <c r="CT250" s="158"/>
      <c r="CU250" s="158"/>
      <c r="CV250" s="158"/>
      <c r="CW250" s="158"/>
      <c r="CX250" s="158"/>
      <c r="CY250" s="158"/>
      <c r="CZ250" s="158"/>
      <c r="DA250" s="158"/>
      <c r="DB250" s="158"/>
      <c r="DC250" s="158"/>
      <c r="DD250" s="158"/>
      <c r="DE250" s="158"/>
      <c r="DF250" s="158"/>
      <c r="DG250" s="158"/>
      <c r="DH250" s="154" t="str">
        <f>'Pelan Pengambilan'!AF128</f>
        <v/>
      </c>
      <c r="DI250" s="154"/>
      <c r="DJ250" s="3">
        <f>IFERROR(MIN('Pelan Pengambilan'!H128,'Pelan Pengambilan'!J128,'Pelan Pengambilan'!L128,'Pelan Pengambilan'!N128,'Pelan Pengambilan'!P128,'Pelan Pengambilan'!R128,'Pelan Pengambilan'!T128,'Pelan Pengambilan'!V128,'Pelan Pengambilan'!X128,'Pelan Pengambilan'!Z128,'Pelan Pengambilan'!AB128,'Pelan Pengambilan'!AD128),"")</f>
        <v>0</v>
      </c>
      <c r="DK250" s="3">
        <f>IFERROR(MAX('Pelan Pengambilan'!H128,'Pelan Pengambilan'!J128,'Pelan Pengambilan'!L128,'Pelan Pengambilan'!N128,'Pelan Pengambilan'!P128,'Pelan Pengambilan'!R128,'Pelan Pengambilan'!T128,'Pelan Pengambilan'!V128,'Pelan Pengambilan'!X128,'Pelan Pengambilan'!Z128,'Pelan Pengambilan'!AB128,'Pelan Pengambilan'!AD128),"")</f>
        <v>0</v>
      </c>
      <c r="DL250" s="3">
        <f>IFERROR(MIN('Pelan Pengambilan'!I128,'Pelan Pengambilan'!K128,'Pelan Pengambilan'!M128,'Pelan Pengambilan'!O128,'Pelan Pengambilan'!Q128,'Pelan Pengambilan'!S128,'Pelan Pengambilan'!U128,'Pelan Pengambilan'!W128,'Pelan Pengambilan'!Y128,'Pelan Pengambilan'!AA128,'Pelan Pengambilan'!AC128,'Pelan Pengambilan'!AE128),"")</f>
        <v>0</v>
      </c>
      <c r="DM250" s="3">
        <f>IFERROR(MAX('Pelan Pengambilan'!I128,'Pelan Pengambilan'!K128,'Pelan Pengambilan'!M128,'Pelan Pengambilan'!O128,'Pelan Pengambilan'!Q128,'Pelan Pengambilan'!S128,'Pelan Pengambilan'!U128,'Pelan Pengambilan'!W128,'Pelan Pengambilan'!Y128,'Pelan Pengambilan'!AA128,'Pelan Pengambilan'!AC128,'Pelan Pengambilan'!AE128),"")</f>
        <v>0</v>
      </c>
    </row>
    <row r="251" ht="19.5" customHeight="1">
      <c r="A251" s="41"/>
      <c r="B251" s="41"/>
      <c r="C251" s="41"/>
      <c r="D251" s="155" t="s">
        <v>276</v>
      </c>
      <c r="E251" s="41"/>
      <c r="F251" s="41"/>
      <c r="G251" s="158"/>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8"/>
      <c r="AY251" s="158"/>
      <c r="AZ251" s="158"/>
      <c r="BA251" s="158"/>
      <c r="BB251" s="158"/>
      <c r="BC251" s="158"/>
      <c r="BD251" s="158"/>
      <c r="BE251" s="158"/>
      <c r="BF251" s="158"/>
      <c r="BG251" s="158"/>
      <c r="BH251" s="158"/>
      <c r="BI251" s="158"/>
      <c r="BJ251" s="158"/>
      <c r="BK251" s="158"/>
      <c r="BL251" s="158"/>
      <c r="BM251" s="158"/>
      <c r="BN251" s="158"/>
      <c r="BO251" s="158"/>
      <c r="BP251" s="158"/>
      <c r="BQ251" s="158"/>
      <c r="BR251" s="158"/>
      <c r="BS251" s="158"/>
      <c r="BT251" s="158"/>
      <c r="BU251" s="158"/>
      <c r="BV251" s="158"/>
      <c r="BW251" s="158"/>
      <c r="BX251" s="158"/>
      <c r="BY251" s="158"/>
      <c r="BZ251" s="158"/>
      <c r="CA251" s="158"/>
      <c r="CB251" s="158"/>
      <c r="CC251" s="158"/>
      <c r="CD251" s="158"/>
      <c r="CE251" s="158"/>
      <c r="CF251" s="158"/>
      <c r="CG251" s="158"/>
      <c r="CH251" s="158"/>
      <c r="CI251" s="158"/>
      <c r="CJ251" s="158"/>
      <c r="CK251" s="158"/>
      <c r="CL251" s="158"/>
      <c r="CM251" s="158"/>
      <c r="CN251" s="158"/>
      <c r="CO251" s="158"/>
      <c r="CP251" s="158"/>
      <c r="CQ251" s="158"/>
      <c r="CR251" s="158"/>
      <c r="CS251" s="158"/>
      <c r="CT251" s="158"/>
      <c r="CU251" s="158"/>
      <c r="CV251" s="158"/>
      <c r="CW251" s="158"/>
      <c r="CX251" s="158"/>
      <c r="CY251" s="158"/>
      <c r="CZ251" s="158"/>
      <c r="DA251" s="158"/>
      <c r="DB251" s="158"/>
      <c r="DC251" s="158"/>
      <c r="DD251" s="158"/>
      <c r="DE251" s="158"/>
      <c r="DF251" s="158"/>
      <c r="DG251" s="158"/>
      <c r="DH251" s="41"/>
      <c r="DI251" s="41"/>
      <c r="DJ251" s="3"/>
      <c r="DK251" s="3"/>
      <c r="DL251" s="3"/>
      <c r="DM251" s="3"/>
    </row>
    <row r="252" ht="19.5" customHeight="1">
      <c r="A252" s="153" t="str">
        <f>'Pelan Pengambilan'!B129</f>
        <v/>
      </c>
      <c r="B252" s="154" t="str">
        <f>'Pelan Pengambilan'!C129</f>
        <v/>
      </c>
      <c r="C252" s="153" t="str">
        <f t="array" ref="C252">IFERROR(IF(INDEX(Strategi!$F$5:$F$134,MATCH(LARGE(Strategi!$K$5:$K$134,124),Strategi!$K$5:$K$134,0))="","","("&amp;COUNTIFS('Pelan Pengambilan'!$B$6:$B$129,'Pelan Pengambilan'!$B129,'Pelan Pengambilan'!$C$6:$C$129,'Pelan Pengambilan'!$C129)&amp;") "&amp;INDEX(Strategi!$F$5:$F$134,MATCH(LARGE(Strategi!$K$5:$K$134,124),Strategi!$K$5:$K$134,0))),"")</f>
        <v/>
      </c>
      <c r="D252" s="155" t="s">
        <v>275</v>
      </c>
      <c r="E252" s="156" t="str">
        <f>IFERROR(IF(COUNT('Pelan Pengambilan'!H129,'Pelan Pengambilan'!J129,'Pelan Pengambilan'!L129,'Pelan Pengambilan'!N129,'Pelan Pengambilan'!P129,'Pelan Pengambilan'!R129,'Pelan Pengambilan'!T129,'Pelan Pengambilan'!V129,'Pelan Pengambilan'!X129,'Pelan Pengambilan'!Z129,'Pelan Pengambilan'!AB129,'Pelan Pengambilan'!AD129)=0,"",COUNT('Pelan Pengambilan'!I129,'Pelan Pengambilan'!K129,'Pelan Pengambilan'!M129,'Pelan Pengambilan'!O129,'Pelan Pengambilan'!Q129,'Pelan Pengambilan'!S129,'Pelan Pengambilan'!U129,'Pelan Pengambilan'!W129,'Pelan Pengambilan'!Y129,'Pelan Pengambilan'!AA129,'Pelan Pengambilan'!AC129,'Pelan Pengambilan'!AE129)/COUNT('Pelan Pengambilan'!H129,'Pelan Pengambilan'!J129,'Pelan Pengambilan'!L129,'Pelan Pengambilan'!N129,'Pelan Pengambilan'!P129,'Pelan Pengambilan'!R129,'Pelan Pengambilan'!T129,'Pelan Pengambilan'!V129,'Pelan Pengambilan'!X129,'Pelan Pengambilan'!Z129,'Pelan Pengambilan'!AB129,'Pelan Pengambilan'!AD129)),"")</f>
        <v/>
      </c>
      <c r="F252" s="157" t="str">
        <f>IFERROR(IF('Pelan Pengambilan'!G129="","",'Pelan Pengambilan'!G129),"")</f>
        <v/>
      </c>
      <c r="G252" s="158"/>
      <c r="H252" s="158"/>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c r="AF252" s="158"/>
      <c r="AG252" s="158"/>
      <c r="AH252" s="158"/>
      <c r="AI252" s="158"/>
      <c r="AJ252" s="158"/>
      <c r="AK252" s="158"/>
      <c r="AL252" s="158"/>
      <c r="AM252" s="158"/>
      <c r="AN252" s="158"/>
      <c r="AO252" s="158"/>
      <c r="AP252" s="158"/>
      <c r="AQ252" s="158"/>
      <c r="AR252" s="158"/>
      <c r="AS252" s="158"/>
      <c r="AT252" s="158"/>
      <c r="AU252" s="158"/>
      <c r="AV252" s="158"/>
      <c r="AW252" s="158"/>
      <c r="AX252" s="158"/>
      <c r="AY252" s="158"/>
      <c r="AZ252" s="158"/>
      <c r="BA252" s="158"/>
      <c r="BB252" s="158"/>
      <c r="BC252" s="158"/>
      <c r="BD252" s="158"/>
      <c r="BE252" s="158"/>
      <c r="BF252" s="158"/>
      <c r="BG252" s="158"/>
      <c r="BH252" s="158"/>
      <c r="BI252" s="158"/>
      <c r="BJ252" s="158"/>
      <c r="BK252" s="158"/>
      <c r="BL252" s="158"/>
      <c r="BM252" s="158"/>
      <c r="BN252" s="158"/>
      <c r="BO252" s="158"/>
      <c r="BP252" s="158"/>
      <c r="BQ252" s="158"/>
      <c r="BR252" s="158"/>
      <c r="BS252" s="158"/>
      <c r="BT252" s="158"/>
      <c r="BU252" s="158"/>
      <c r="BV252" s="158"/>
      <c r="BW252" s="158"/>
      <c r="BX252" s="158"/>
      <c r="BY252" s="158"/>
      <c r="BZ252" s="158"/>
      <c r="CA252" s="158"/>
      <c r="CB252" s="158"/>
      <c r="CC252" s="158"/>
      <c r="CD252" s="158"/>
      <c r="CE252" s="158"/>
      <c r="CF252" s="158"/>
      <c r="CG252" s="158"/>
      <c r="CH252" s="158"/>
      <c r="CI252" s="158"/>
      <c r="CJ252" s="158"/>
      <c r="CK252" s="158"/>
      <c r="CL252" s="158"/>
      <c r="CM252" s="158"/>
      <c r="CN252" s="158"/>
      <c r="CO252" s="158"/>
      <c r="CP252" s="158"/>
      <c r="CQ252" s="158"/>
      <c r="CR252" s="158"/>
      <c r="CS252" s="158"/>
      <c r="CT252" s="158"/>
      <c r="CU252" s="158"/>
      <c r="CV252" s="158"/>
      <c r="CW252" s="158"/>
      <c r="CX252" s="158"/>
      <c r="CY252" s="158"/>
      <c r="CZ252" s="158"/>
      <c r="DA252" s="158"/>
      <c r="DB252" s="158"/>
      <c r="DC252" s="158"/>
      <c r="DD252" s="158"/>
      <c r="DE252" s="158"/>
      <c r="DF252" s="158"/>
      <c r="DG252" s="158"/>
      <c r="DH252" s="154" t="str">
        <f>'Pelan Pengambilan'!AF129</f>
        <v/>
      </c>
      <c r="DI252" s="154"/>
      <c r="DJ252" s="3">
        <f>IFERROR(MIN('Pelan Pengambilan'!H129,'Pelan Pengambilan'!J129,'Pelan Pengambilan'!L129,'Pelan Pengambilan'!N129,'Pelan Pengambilan'!P129,'Pelan Pengambilan'!R129,'Pelan Pengambilan'!T129,'Pelan Pengambilan'!V129,'Pelan Pengambilan'!X129,'Pelan Pengambilan'!Z129,'Pelan Pengambilan'!AB129,'Pelan Pengambilan'!AD129),"")</f>
        <v>0</v>
      </c>
      <c r="DK252" s="3">
        <f>IFERROR(MAX('Pelan Pengambilan'!H129,'Pelan Pengambilan'!J129,'Pelan Pengambilan'!L129,'Pelan Pengambilan'!N129,'Pelan Pengambilan'!P129,'Pelan Pengambilan'!R129,'Pelan Pengambilan'!T129,'Pelan Pengambilan'!V129,'Pelan Pengambilan'!X129,'Pelan Pengambilan'!Z129,'Pelan Pengambilan'!AB129,'Pelan Pengambilan'!AD129),"")</f>
        <v>0</v>
      </c>
      <c r="DL252" s="3">
        <f>IFERROR(MIN('Pelan Pengambilan'!I129,'Pelan Pengambilan'!K129,'Pelan Pengambilan'!M129,'Pelan Pengambilan'!O129,'Pelan Pengambilan'!Q129,'Pelan Pengambilan'!S129,'Pelan Pengambilan'!U129,'Pelan Pengambilan'!W129,'Pelan Pengambilan'!Y129,'Pelan Pengambilan'!AA129,'Pelan Pengambilan'!AC129,'Pelan Pengambilan'!AE129),"")</f>
        <v>0</v>
      </c>
      <c r="DM252" s="3">
        <f>IFERROR(MAX('Pelan Pengambilan'!I129,'Pelan Pengambilan'!K129,'Pelan Pengambilan'!M129,'Pelan Pengambilan'!O129,'Pelan Pengambilan'!Q129,'Pelan Pengambilan'!S129,'Pelan Pengambilan'!U129,'Pelan Pengambilan'!W129,'Pelan Pengambilan'!Y129,'Pelan Pengambilan'!AA129,'Pelan Pengambilan'!AC129,'Pelan Pengambilan'!AE129),"")</f>
        <v>0</v>
      </c>
    </row>
    <row r="253" ht="19.5" customHeight="1">
      <c r="A253" s="41"/>
      <c r="B253" s="41"/>
      <c r="C253" s="41"/>
      <c r="D253" s="155" t="s">
        <v>276</v>
      </c>
      <c r="E253" s="41"/>
      <c r="F253" s="41"/>
      <c r="G253" s="158"/>
      <c r="H253" s="158"/>
      <c r="I253" s="158"/>
      <c r="J253" s="158"/>
      <c r="K253" s="158"/>
      <c r="L253" s="158"/>
      <c r="M253" s="158"/>
      <c r="N253" s="158"/>
      <c r="O253" s="158"/>
      <c r="P253" s="158"/>
      <c r="Q253" s="158"/>
      <c r="R253" s="158"/>
      <c r="S253" s="158"/>
      <c r="T253" s="158"/>
      <c r="U253" s="158"/>
      <c r="V253" s="158"/>
      <c r="W253" s="158"/>
      <c r="X253" s="158"/>
      <c r="Y253" s="158"/>
      <c r="Z253" s="158"/>
      <c r="AA253" s="158"/>
      <c r="AB253" s="158"/>
      <c r="AC253" s="158"/>
      <c r="AD253" s="158"/>
      <c r="AE253" s="158"/>
      <c r="AF253" s="158"/>
      <c r="AG253" s="158"/>
      <c r="AH253" s="158"/>
      <c r="AI253" s="158"/>
      <c r="AJ253" s="158"/>
      <c r="AK253" s="158"/>
      <c r="AL253" s="158"/>
      <c r="AM253" s="158"/>
      <c r="AN253" s="158"/>
      <c r="AO253" s="158"/>
      <c r="AP253" s="158"/>
      <c r="AQ253" s="158"/>
      <c r="AR253" s="158"/>
      <c r="AS253" s="158"/>
      <c r="AT253" s="158"/>
      <c r="AU253" s="158"/>
      <c r="AV253" s="158"/>
      <c r="AW253" s="158"/>
      <c r="AX253" s="158"/>
      <c r="AY253" s="158"/>
      <c r="AZ253" s="158"/>
      <c r="BA253" s="158"/>
      <c r="BB253" s="158"/>
      <c r="BC253" s="158"/>
      <c r="BD253" s="158"/>
      <c r="BE253" s="158"/>
      <c r="BF253" s="158"/>
      <c r="BG253" s="158"/>
      <c r="BH253" s="158"/>
      <c r="BI253" s="158"/>
      <c r="BJ253" s="158"/>
      <c r="BK253" s="158"/>
      <c r="BL253" s="158"/>
      <c r="BM253" s="158"/>
      <c r="BN253" s="158"/>
      <c r="BO253" s="158"/>
      <c r="BP253" s="158"/>
      <c r="BQ253" s="158"/>
      <c r="BR253" s="158"/>
      <c r="BS253" s="158"/>
      <c r="BT253" s="158"/>
      <c r="BU253" s="158"/>
      <c r="BV253" s="158"/>
      <c r="BW253" s="158"/>
      <c r="BX253" s="158"/>
      <c r="BY253" s="158"/>
      <c r="BZ253" s="158"/>
      <c r="CA253" s="158"/>
      <c r="CB253" s="158"/>
      <c r="CC253" s="158"/>
      <c r="CD253" s="158"/>
      <c r="CE253" s="158"/>
      <c r="CF253" s="158"/>
      <c r="CG253" s="158"/>
      <c r="CH253" s="158"/>
      <c r="CI253" s="158"/>
      <c r="CJ253" s="158"/>
      <c r="CK253" s="158"/>
      <c r="CL253" s="158"/>
      <c r="CM253" s="158"/>
      <c r="CN253" s="158"/>
      <c r="CO253" s="158"/>
      <c r="CP253" s="158"/>
      <c r="CQ253" s="158"/>
      <c r="CR253" s="158"/>
      <c r="CS253" s="158"/>
      <c r="CT253" s="158"/>
      <c r="CU253" s="158"/>
      <c r="CV253" s="158"/>
      <c r="CW253" s="158"/>
      <c r="CX253" s="158"/>
      <c r="CY253" s="158"/>
      <c r="CZ253" s="158"/>
      <c r="DA253" s="158"/>
      <c r="DB253" s="158"/>
      <c r="DC253" s="158"/>
      <c r="DD253" s="158"/>
      <c r="DE253" s="158"/>
      <c r="DF253" s="158"/>
      <c r="DG253" s="158"/>
      <c r="DH253" s="41"/>
      <c r="DI253" s="41"/>
      <c r="DJ253" s="3"/>
      <c r="DK253" s="3"/>
      <c r="DL253" s="3"/>
      <c r="DM253" s="3"/>
    </row>
    <row r="254" ht="19.5" customHeight="1">
      <c r="A254" s="153" t="str">
        <f>'Pelan Pengambilan'!B130</f>
        <v/>
      </c>
      <c r="B254" s="154" t="str">
        <f>'Pelan Pengambilan'!C130</f>
        <v/>
      </c>
      <c r="C254" s="153" t="str">
        <f t="array" ref="C254">IFERROR(IF(INDEX(Strategi!$F$5:$F$134,MATCH(LARGE(Strategi!$K$5:$K$134,125),Strategi!$K$5:$K$134,0))="","","("&amp;COUNTIFS('Pelan Pengambilan'!$B$6:$B$130,'Pelan Pengambilan'!$B130,'Pelan Pengambilan'!$C$6:$C$130,'Pelan Pengambilan'!$C130)&amp;") "&amp;INDEX(Strategi!$F$5:$F$134,MATCH(LARGE(Strategi!$K$5:$K$134,125),Strategi!$K$5:$K$134,0))),"")</f>
        <v/>
      </c>
      <c r="D254" s="155" t="s">
        <v>275</v>
      </c>
      <c r="E254" s="156" t="str">
        <f>IFERROR(IF(COUNT('Pelan Pengambilan'!H130,'Pelan Pengambilan'!J130,'Pelan Pengambilan'!L130,'Pelan Pengambilan'!N130,'Pelan Pengambilan'!P130,'Pelan Pengambilan'!R130,'Pelan Pengambilan'!T130,'Pelan Pengambilan'!V130,'Pelan Pengambilan'!X130,'Pelan Pengambilan'!Z130,'Pelan Pengambilan'!AB130,'Pelan Pengambilan'!AD130)=0,"",COUNT('Pelan Pengambilan'!I130,'Pelan Pengambilan'!K130,'Pelan Pengambilan'!M130,'Pelan Pengambilan'!O130,'Pelan Pengambilan'!Q130,'Pelan Pengambilan'!S130,'Pelan Pengambilan'!U130,'Pelan Pengambilan'!W130,'Pelan Pengambilan'!Y130,'Pelan Pengambilan'!AA130,'Pelan Pengambilan'!AC130,'Pelan Pengambilan'!AE130)/COUNT('Pelan Pengambilan'!H130,'Pelan Pengambilan'!J130,'Pelan Pengambilan'!L130,'Pelan Pengambilan'!N130,'Pelan Pengambilan'!P130,'Pelan Pengambilan'!R130,'Pelan Pengambilan'!T130,'Pelan Pengambilan'!V130,'Pelan Pengambilan'!X130,'Pelan Pengambilan'!Z130,'Pelan Pengambilan'!AB130,'Pelan Pengambilan'!AD130)),"")</f>
        <v/>
      </c>
      <c r="F254" s="157" t="str">
        <f>IFERROR(IF('Pelan Pengambilan'!G130="","",'Pelan Pengambilan'!G130),"")</f>
        <v/>
      </c>
      <c r="G254" s="158"/>
      <c r="H254" s="158"/>
      <c r="I254" s="158"/>
      <c r="J254" s="158"/>
      <c r="K254" s="158"/>
      <c r="L254" s="158"/>
      <c r="M254" s="158"/>
      <c r="N254" s="158"/>
      <c r="O254" s="158"/>
      <c r="P254" s="158"/>
      <c r="Q254" s="158"/>
      <c r="R254" s="158"/>
      <c r="S254" s="158"/>
      <c r="T254" s="158"/>
      <c r="U254" s="158"/>
      <c r="V254" s="158"/>
      <c r="W254" s="158"/>
      <c r="X254" s="158"/>
      <c r="Y254" s="158"/>
      <c r="Z254" s="158"/>
      <c r="AA254" s="158"/>
      <c r="AB254" s="158"/>
      <c r="AC254" s="158"/>
      <c r="AD254" s="158"/>
      <c r="AE254" s="158"/>
      <c r="AF254" s="158"/>
      <c r="AG254" s="158"/>
      <c r="AH254" s="158"/>
      <c r="AI254" s="158"/>
      <c r="AJ254" s="158"/>
      <c r="AK254" s="158"/>
      <c r="AL254" s="158"/>
      <c r="AM254" s="158"/>
      <c r="AN254" s="158"/>
      <c r="AO254" s="158"/>
      <c r="AP254" s="158"/>
      <c r="AQ254" s="158"/>
      <c r="AR254" s="158"/>
      <c r="AS254" s="158"/>
      <c r="AT254" s="158"/>
      <c r="AU254" s="158"/>
      <c r="AV254" s="158"/>
      <c r="AW254" s="158"/>
      <c r="AX254" s="158"/>
      <c r="AY254" s="158"/>
      <c r="AZ254" s="158"/>
      <c r="BA254" s="158"/>
      <c r="BB254" s="158"/>
      <c r="BC254" s="158"/>
      <c r="BD254" s="158"/>
      <c r="BE254" s="158"/>
      <c r="BF254" s="158"/>
      <c r="BG254" s="158"/>
      <c r="BH254" s="158"/>
      <c r="BI254" s="158"/>
      <c r="BJ254" s="158"/>
      <c r="BK254" s="158"/>
      <c r="BL254" s="158"/>
      <c r="BM254" s="158"/>
      <c r="BN254" s="158"/>
      <c r="BO254" s="158"/>
      <c r="BP254" s="158"/>
      <c r="BQ254" s="158"/>
      <c r="BR254" s="158"/>
      <c r="BS254" s="158"/>
      <c r="BT254" s="158"/>
      <c r="BU254" s="158"/>
      <c r="BV254" s="158"/>
      <c r="BW254" s="158"/>
      <c r="BX254" s="158"/>
      <c r="BY254" s="158"/>
      <c r="BZ254" s="158"/>
      <c r="CA254" s="158"/>
      <c r="CB254" s="158"/>
      <c r="CC254" s="158"/>
      <c r="CD254" s="158"/>
      <c r="CE254" s="158"/>
      <c r="CF254" s="158"/>
      <c r="CG254" s="158"/>
      <c r="CH254" s="158"/>
      <c r="CI254" s="158"/>
      <c r="CJ254" s="158"/>
      <c r="CK254" s="158"/>
      <c r="CL254" s="158"/>
      <c r="CM254" s="158"/>
      <c r="CN254" s="158"/>
      <c r="CO254" s="158"/>
      <c r="CP254" s="158"/>
      <c r="CQ254" s="158"/>
      <c r="CR254" s="158"/>
      <c r="CS254" s="158"/>
      <c r="CT254" s="158"/>
      <c r="CU254" s="158"/>
      <c r="CV254" s="158"/>
      <c r="CW254" s="158"/>
      <c r="CX254" s="158"/>
      <c r="CY254" s="158"/>
      <c r="CZ254" s="158"/>
      <c r="DA254" s="158"/>
      <c r="DB254" s="158"/>
      <c r="DC254" s="158"/>
      <c r="DD254" s="158"/>
      <c r="DE254" s="158"/>
      <c r="DF254" s="158"/>
      <c r="DG254" s="158"/>
      <c r="DH254" s="154" t="str">
        <f>'Pelan Pengambilan'!AF130</f>
        <v/>
      </c>
      <c r="DI254" s="154"/>
      <c r="DJ254" s="3">
        <f>IFERROR(MIN('Pelan Pengambilan'!H130,'Pelan Pengambilan'!J130,'Pelan Pengambilan'!L130,'Pelan Pengambilan'!N130,'Pelan Pengambilan'!P130,'Pelan Pengambilan'!R130,'Pelan Pengambilan'!T130,'Pelan Pengambilan'!V130,'Pelan Pengambilan'!X130,'Pelan Pengambilan'!Z130,'Pelan Pengambilan'!AB130,'Pelan Pengambilan'!AD130),"")</f>
        <v>0</v>
      </c>
      <c r="DK254" s="3">
        <f>IFERROR(MAX('Pelan Pengambilan'!H130,'Pelan Pengambilan'!J130,'Pelan Pengambilan'!L130,'Pelan Pengambilan'!N130,'Pelan Pengambilan'!P130,'Pelan Pengambilan'!R130,'Pelan Pengambilan'!T130,'Pelan Pengambilan'!V130,'Pelan Pengambilan'!X130,'Pelan Pengambilan'!Z130,'Pelan Pengambilan'!AB130,'Pelan Pengambilan'!AD130),"")</f>
        <v>0</v>
      </c>
      <c r="DL254" s="3">
        <f>IFERROR(MIN('Pelan Pengambilan'!I130,'Pelan Pengambilan'!K130,'Pelan Pengambilan'!M130,'Pelan Pengambilan'!O130,'Pelan Pengambilan'!Q130,'Pelan Pengambilan'!S130,'Pelan Pengambilan'!U130,'Pelan Pengambilan'!W130,'Pelan Pengambilan'!Y130,'Pelan Pengambilan'!AA130,'Pelan Pengambilan'!AC130,'Pelan Pengambilan'!AE130),"")</f>
        <v>0</v>
      </c>
      <c r="DM254" s="3">
        <f>IFERROR(MAX('Pelan Pengambilan'!I130,'Pelan Pengambilan'!K130,'Pelan Pengambilan'!M130,'Pelan Pengambilan'!O130,'Pelan Pengambilan'!Q130,'Pelan Pengambilan'!S130,'Pelan Pengambilan'!U130,'Pelan Pengambilan'!W130,'Pelan Pengambilan'!Y130,'Pelan Pengambilan'!AA130,'Pelan Pengambilan'!AC130,'Pelan Pengambilan'!AE130),"")</f>
        <v>0</v>
      </c>
    </row>
    <row r="255" ht="19.5" customHeight="1">
      <c r="A255" s="41"/>
      <c r="B255" s="41"/>
      <c r="C255" s="41"/>
      <c r="D255" s="155" t="s">
        <v>276</v>
      </c>
      <c r="E255" s="41"/>
      <c r="F255" s="41"/>
      <c r="G255" s="158"/>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8"/>
      <c r="AY255" s="158"/>
      <c r="AZ255" s="158"/>
      <c r="BA255" s="158"/>
      <c r="BB255" s="158"/>
      <c r="BC255" s="158"/>
      <c r="BD255" s="158"/>
      <c r="BE255" s="158"/>
      <c r="BF255" s="158"/>
      <c r="BG255" s="158"/>
      <c r="BH255" s="158"/>
      <c r="BI255" s="158"/>
      <c r="BJ255" s="158"/>
      <c r="BK255" s="158"/>
      <c r="BL255" s="158"/>
      <c r="BM255" s="158"/>
      <c r="BN255" s="158"/>
      <c r="BO255" s="158"/>
      <c r="BP255" s="158"/>
      <c r="BQ255" s="158"/>
      <c r="BR255" s="158"/>
      <c r="BS255" s="158"/>
      <c r="BT255" s="158"/>
      <c r="BU255" s="158"/>
      <c r="BV255" s="158"/>
      <c r="BW255" s="158"/>
      <c r="BX255" s="158"/>
      <c r="BY255" s="158"/>
      <c r="BZ255" s="158"/>
      <c r="CA255" s="158"/>
      <c r="CB255" s="158"/>
      <c r="CC255" s="158"/>
      <c r="CD255" s="158"/>
      <c r="CE255" s="158"/>
      <c r="CF255" s="158"/>
      <c r="CG255" s="158"/>
      <c r="CH255" s="158"/>
      <c r="CI255" s="158"/>
      <c r="CJ255" s="158"/>
      <c r="CK255" s="158"/>
      <c r="CL255" s="158"/>
      <c r="CM255" s="158"/>
      <c r="CN255" s="158"/>
      <c r="CO255" s="158"/>
      <c r="CP255" s="158"/>
      <c r="CQ255" s="158"/>
      <c r="CR255" s="158"/>
      <c r="CS255" s="158"/>
      <c r="CT255" s="158"/>
      <c r="CU255" s="158"/>
      <c r="CV255" s="158"/>
      <c r="CW255" s="158"/>
      <c r="CX255" s="158"/>
      <c r="CY255" s="158"/>
      <c r="CZ255" s="158"/>
      <c r="DA255" s="158"/>
      <c r="DB255" s="158"/>
      <c r="DC255" s="158"/>
      <c r="DD255" s="158"/>
      <c r="DE255" s="158"/>
      <c r="DF255" s="158"/>
      <c r="DG255" s="158"/>
      <c r="DH255" s="41"/>
      <c r="DI255" s="41"/>
      <c r="DJ255" s="3"/>
      <c r="DK255" s="3"/>
      <c r="DL255" s="3"/>
      <c r="DM255" s="3"/>
    </row>
    <row r="256" ht="19.5" customHeight="1">
      <c r="A256" s="153" t="str">
        <f>'Pelan Pengambilan'!B131</f>
        <v/>
      </c>
      <c r="B256" s="154" t="str">
        <f>'Pelan Pengambilan'!C131</f>
        <v/>
      </c>
      <c r="C256" s="153" t="str">
        <f t="array" ref="C256">IFERROR(IF(INDEX(Strategi!$F$5:$F$134,MATCH(LARGE(Strategi!$K$5:$K$134,126),Strategi!$K$5:$K$134,0))="","","("&amp;COUNTIFS('Pelan Pengambilan'!$B$6:$B$131,'Pelan Pengambilan'!$B131,'Pelan Pengambilan'!$C$6:$C$131,'Pelan Pengambilan'!$C131)&amp;") "&amp;INDEX(Strategi!$F$5:$F$134,MATCH(LARGE(Strategi!$K$5:$K$134,126),Strategi!$K$5:$K$134,0))),"")</f>
        <v/>
      </c>
      <c r="D256" s="155" t="s">
        <v>275</v>
      </c>
      <c r="E256" s="156" t="str">
        <f>IFERROR(IF(COUNT('Pelan Pengambilan'!H131,'Pelan Pengambilan'!J131,'Pelan Pengambilan'!L131,'Pelan Pengambilan'!N131,'Pelan Pengambilan'!P131,'Pelan Pengambilan'!R131,'Pelan Pengambilan'!T131,'Pelan Pengambilan'!V131,'Pelan Pengambilan'!X131,'Pelan Pengambilan'!Z131,'Pelan Pengambilan'!AB131,'Pelan Pengambilan'!AD131)=0,"",COUNT('Pelan Pengambilan'!I131,'Pelan Pengambilan'!K131,'Pelan Pengambilan'!M131,'Pelan Pengambilan'!O131,'Pelan Pengambilan'!Q131,'Pelan Pengambilan'!S131,'Pelan Pengambilan'!U131,'Pelan Pengambilan'!W131,'Pelan Pengambilan'!Y131,'Pelan Pengambilan'!AA131,'Pelan Pengambilan'!AC131,'Pelan Pengambilan'!AE131)/COUNT('Pelan Pengambilan'!H131,'Pelan Pengambilan'!J131,'Pelan Pengambilan'!L131,'Pelan Pengambilan'!N131,'Pelan Pengambilan'!P131,'Pelan Pengambilan'!R131,'Pelan Pengambilan'!T131,'Pelan Pengambilan'!V131,'Pelan Pengambilan'!X131,'Pelan Pengambilan'!Z131,'Pelan Pengambilan'!AB131,'Pelan Pengambilan'!AD131)),"")</f>
        <v/>
      </c>
      <c r="F256" s="157" t="str">
        <f>IFERROR(IF('Pelan Pengambilan'!G131="","",'Pelan Pengambilan'!G131),"")</f>
        <v/>
      </c>
      <c r="G256" s="158"/>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8"/>
      <c r="AY256" s="158"/>
      <c r="AZ256" s="158"/>
      <c r="BA256" s="158"/>
      <c r="BB256" s="158"/>
      <c r="BC256" s="158"/>
      <c r="BD256" s="158"/>
      <c r="BE256" s="158"/>
      <c r="BF256" s="158"/>
      <c r="BG256" s="158"/>
      <c r="BH256" s="158"/>
      <c r="BI256" s="158"/>
      <c r="BJ256" s="158"/>
      <c r="BK256" s="158"/>
      <c r="BL256" s="158"/>
      <c r="BM256" s="158"/>
      <c r="BN256" s="158"/>
      <c r="BO256" s="158"/>
      <c r="BP256" s="158"/>
      <c r="BQ256" s="158"/>
      <c r="BR256" s="158"/>
      <c r="BS256" s="158"/>
      <c r="BT256" s="158"/>
      <c r="BU256" s="158"/>
      <c r="BV256" s="158"/>
      <c r="BW256" s="158"/>
      <c r="BX256" s="158"/>
      <c r="BY256" s="158"/>
      <c r="BZ256" s="158"/>
      <c r="CA256" s="158"/>
      <c r="CB256" s="158"/>
      <c r="CC256" s="158"/>
      <c r="CD256" s="158"/>
      <c r="CE256" s="158"/>
      <c r="CF256" s="158"/>
      <c r="CG256" s="158"/>
      <c r="CH256" s="158"/>
      <c r="CI256" s="158"/>
      <c r="CJ256" s="158"/>
      <c r="CK256" s="158"/>
      <c r="CL256" s="158"/>
      <c r="CM256" s="158"/>
      <c r="CN256" s="158"/>
      <c r="CO256" s="158"/>
      <c r="CP256" s="158"/>
      <c r="CQ256" s="158"/>
      <c r="CR256" s="158"/>
      <c r="CS256" s="158"/>
      <c r="CT256" s="158"/>
      <c r="CU256" s="158"/>
      <c r="CV256" s="158"/>
      <c r="CW256" s="158"/>
      <c r="CX256" s="158"/>
      <c r="CY256" s="158"/>
      <c r="CZ256" s="158"/>
      <c r="DA256" s="158"/>
      <c r="DB256" s="158"/>
      <c r="DC256" s="158"/>
      <c r="DD256" s="158"/>
      <c r="DE256" s="158"/>
      <c r="DF256" s="158"/>
      <c r="DG256" s="158"/>
      <c r="DH256" s="154" t="str">
        <f>'Pelan Pengambilan'!AF131</f>
        <v/>
      </c>
      <c r="DI256" s="154"/>
      <c r="DJ256" s="3">
        <f>IFERROR(MIN('Pelan Pengambilan'!H131,'Pelan Pengambilan'!J131,'Pelan Pengambilan'!L131,'Pelan Pengambilan'!N131,'Pelan Pengambilan'!P131,'Pelan Pengambilan'!R131,'Pelan Pengambilan'!T131,'Pelan Pengambilan'!V131,'Pelan Pengambilan'!X131,'Pelan Pengambilan'!Z131,'Pelan Pengambilan'!AB131,'Pelan Pengambilan'!AD131),"")</f>
        <v>0</v>
      </c>
      <c r="DK256" s="3">
        <f>IFERROR(MAX('Pelan Pengambilan'!H131,'Pelan Pengambilan'!J131,'Pelan Pengambilan'!L131,'Pelan Pengambilan'!N131,'Pelan Pengambilan'!P131,'Pelan Pengambilan'!R131,'Pelan Pengambilan'!T131,'Pelan Pengambilan'!V131,'Pelan Pengambilan'!X131,'Pelan Pengambilan'!Z131,'Pelan Pengambilan'!AB131,'Pelan Pengambilan'!AD131),"")</f>
        <v>0</v>
      </c>
      <c r="DL256" s="3">
        <f>IFERROR(MIN('Pelan Pengambilan'!I131,'Pelan Pengambilan'!K131,'Pelan Pengambilan'!M131,'Pelan Pengambilan'!O131,'Pelan Pengambilan'!Q131,'Pelan Pengambilan'!S131,'Pelan Pengambilan'!U131,'Pelan Pengambilan'!W131,'Pelan Pengambilan'!Y131,'Pelan Pengambilan'!AA131,'Pelan Pengambilan'!AC131,'Pelan Pengambilan'!AE131),"")</f>
        <v>0</v>
      </c>
      <c r="DM256" s="3">
        <f>IFERROR(MAX('Pelan Pengambilan'!I131,'Pelan Pengambilan'!K131,'Pelan Pengambilan'!M131,'Pelan Pengambilan'!O131,'Pelan Pengambilan'!Q131,'Pelan Pengambilan'!S131,'Pelan Pengambilan'!U131,'Pelan Pengambilan'!W131,'Pelan Pengambilan'!Y131,'Pelan Pengambilan'!AA131,'Pelan Pengambilan'!AC131,'Pelan Pengambilan'!AE131),"")</f>
        <v>0</v>
      </c>
    </row>
    <row r="257" ht="19.5" customHeight="1">
      <c r="A257" s="41"/>
      <c r="B257" s="41"/>
      <c r="C257" s="41"/>
      <c r="D257" s="155" t="s">
        <v>276</v>
      </c>
      <c r="E257" s="41"/>
      <c r="F257" s="41"/>
      <c r="G257" s="158"/>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K257" s="158"/>
      <c r="BL257" s="158"/>
      <c r="BM257" s="158"/>
      <c r="BN257" s="158"/>
      <c r="BO257" s="158"/>
      <c r="BP257" s="158"/>
      <c r="BQ257" s="158"/>
      <c r="BR257" s="158"/>
      <c r="BS257" s="158"/>
      <c r="BT257" s="158"/>
      <c r="BU257" s="158"/>
      <c r="BV257" s="158"/>
      <c r="BW257" s="158"/>
      <c r="BX257" s="158"/>
      <c r="BY257" s="158"/>
      <c r="BZ257" s="158"/>
      <c r="CA257" s="158"/>
      <c r="CB257" s="158"/>
      <c r="CC257" s="158"/>
      <c r="CD257" s="158"/>
      <c r="CE257" s="158"/>
      <c r="CF257" s="158"/>
      <c r="CG257" s="158"/>
      <c r="CH257" s="158"/>
      <c r="CI257" s="158"/>
      <c r="CJ257" s="158"/>
      <c r="CK257" s="158"/>
      <c r="CL257" s="158"/>
      <c r="CM257" s="158"/>
      <c r="CN257" s="158"/>
      <c r="CO257" s="158"/>
      <c r="CP257" s="158"/>
      <c r="CQ257" s="158"/>
      <c r="CR257" s="158"/>
      <c r="CS257" s="158"/>
      <c r="CT257" s="158"/>
      <c r="CU257" s="158"/>
      <c r="CV257" s="158"/>
      <c r="CW257" s="158"/>
      <c r="CX257" s="158"/>
      <c r="CY257" s="158"/>
      <c r="CZ257" s="158"/>
      <c r="DA257" s="158"/>
      <c r="DB257" s="158"/>
      <c r="DC257" s="158"/>
      <c r="DD257" s="158"/>
      <c r="DE257" s="158"/>
      <c r="DF257" s="158"/>
      <c r="DG257" s="158"/>
      <c r="DH257" s="41"/>
      <c r="DI257" s="41"/>
      <c r="DJ257" s="3"/>
      <c r="DK257" s="3"/>
      <c r="DL257" s="3"/>
      <c r="DM257" s="3"/>
    </row>
    <row r="258" ht="19.5" customHeight="1">
      <c r="A258" s="153" t="str">
        <f>'Pelan Pengambilan'!B132</f>
        <v/>
      </c>
      <c r="B258" s="154" t="str">
        <f>'Pelan Pengambilan'!C132</f>
        <v/>
      </c>
      <c r="C258" s="153" t="str">
        <f t="array" ref="C258">IFERROR(IF(INDEX(Strategi!$F$5:$F$134,MATCH(LARGE(Strategi!$K$5:$K$134,127),Strategi!$K$5:$K$134,0))="","","("&amp;COUNTIFS('Pelan Pengambilan'!$B$6:$B$132,'Pelan Pengambilan'!$B132,'Pelan Pengambilan'!$C$6:$C$132,'Pelan Pengambilan'!$C132)&amp;") "&amp;INDEX(Strategi!$F$5:$F$134,MATCH(LARGE(Strategi!$K$5:$K$134,127),Strategi!$K$5:$K$134,0))),"")</f>
        <v/>
      </c>
      <c r="D258" s="155" t="s">
        <v>275</v>
      </c>
      <c r="E258" s="156" t="str">
        <f>IFERROR(IF(COUNT('Pelan Pengambilan'!H132,'Pelan Pengambilan'!J132,'Pelan Pengambilan'!L132,'Pelan Pengambilan'!N132,'Pelan Pengambilan'!P132,'Pelan Pengambilan'!R132,'Pelan Pengambilan'!T132,'Pelan Pengambilan'!V132,'Pelan Pengambilan'!X132,'Pelan Pengambilan'!Z132,'Pelan Pengambilan'!AB132,'Pelan Pengambilan'!AD132)=0,"",COUNT('Pelan Pengambilan'!I132,'Pelan Pengambilan'!K132,'Pelan Pengambilan'!M132,'Pelan Pengambilan'!O132,'Pelan Pengambilan'!Q132,'Pelan Pengambilan'!S132,'Pelan Pengambilan'!U132,'Pelan Pengambilan'!W132,'Pelan Pengambilan'!Y132,'Pelan Pengambilan'!AA132,'Pelan Pengambilan'!AC132,'Pelan Pengambilan'!AE132)/COUNT('Pelan Pengambilan'!H132,'Pelan Pengambilan'!J132,'Pelan Pengambilan'!L132,'Pelan Pengambilan'!N132,'Pelan Pengambilan'!P132,'Pelan Pengambilan'!R132,'Pelan Pengambilan'!T132,'Pelan Pengambilan'!V132,'Pelan Pengambilan'!X132,'Pelan Pengambilan'!Z132,'Pelan Pengambilan'!AB132,'Pelan Pengambilan'!AD132)),"")</f>
        <v/>
      </c>
      <c r="F258" s="157" t="str">
        <f>IFERROR(IF('Pelan Pengambilan'!G132="","",'Pelan Pengambilan'!G132),"")</f>
        <v/>
      </c>
      <c r="G258" s="158"/>
      <c r="H258" s="158"/>
      <c r="I258" s="158"/>
      <c r="J258" s="158"/>
      <c r="K258" s="158"/>
      <c r="L258" s="158"/>
      <c r="M258" s="158"/>
      <c r="N258" s="158"/>
      <c r="O258" s="158"/>
      <c r="P258" s="158"/>
      <c r="Q258" s="158"/>
      <c r="R258" s="158"/>
      <c r="S258" s="158"/>
      <c r="T258" s="158"/>
      <c r="U258" s="158"/>
      <c r="V258" s="158"/>
      <c r="W258" s="158"/>
      <c r="X258" s="158"/>
      <c r="Y258" s="158"/>
      <c r="Z258" s="158"/>
      <c r="AA258" s="158"/>
      <c r="AB258" s="158"/>
      <c r="AC258" s="158"/>
      <c r="AD258" s="158"/>
      <c r="AE258" s="158"/>
      <c r="AF258" s="158"/>
      <c r="AG258" s="158"/>
      <c r="AH258" s="158"/>
      <c r="AI258" s="158"/>
      <c r="AJ258" s="158"/>
      <c r="AK258" s="158"/>
      <c r="AL258" s="158"/>
      <c r="AM258" s="158"/>
      <c r="AN258" s="158"/>
      <c r="AO258" s="158"/>
      <c r="AP258" s="158"/>
      <c r="AQ258" s="158"/>
      <c r="AR258" s="158"/>
      <c r="AS258" s="158"/>
      <c r="AT258" s="158"/>
      <c r="AU258" s="158"/>
      <c r="AV258" s="158"/>
      <c r="AW258" s="158"/>
      <c r="AX258" s="158"/>
      <c r="AY258" s="158"/>
      <c r="AZ258" s="158"/>
      <c r="BA258" s="158"/>
      <c r="BB258" s="158"/>
      <c r="BC258" s="158"/>
      <c r="BD258" s="158"/>
      <c r="BE258" s="158"/>
      <c r="BF258" s="158"/>
      <c r="BG258" s="158"/>
      <c r="BH258" s="158"/>
      <c r="BI258" s="158"/>
      <c r="BJ258" s="158"/>
      <c r="BK258" s="158"/>
      <c r="BL258" s="158"/>
      <c r="BM258" s="158"/>
      <c r="BN258" s="158"/>
      <c r="BO258" s="158"/>
      <c r="BP258" s="158"/>
      <c r="BQ258" s="158"/>
      <c r="BR258" s="158"/>
      <c r="BS258" s="158"/>
      <c r="BT258" s="158"/>
      <c r="BU258" s="158"/>
      <c r="BV258" s="158"/>
      <c r="BW258" s="158"/>
      <c r="BX258" s="158"/>
      <c r="BY258" s="158"/>
      <c r="BZ258" s="158"/>
      <c r="CA258" s="158"/>
      <c r="CB258" s="158"/>
      <c r="CC258" s="158"/>
      <c r="CD258" s="158"/>
      <c r="CE258" s="158"/>
      <c r="CF258" s="158"/>
      <c r="CG258" s="158"/>
      <c r="CH258" s="158"/>
      <c r="CI258" s="158"/>
      <c r="CJ258" s="158"/>
      <c r="CK258" s="158"/>
      <c r="CL258" s="158"/>
      <c r="CM258" s="158"/>
      <c r="CN258" s="158"/>
      <c r="CO258" s="158"/>
      <c r="CP258" s="158"/>
      <c r="CQ258" s="158"/>
      <c r="CR258" s="158"/>
      <c r="CS258" s="158"/>
      <c r="CT258" s="158"/>
      <c r="CU258" s="158"/>
      <c r="CV258" s="158"/>
      <c r="CW258" s="158"/>
      <c r="CX258" s="158"/>
      <c r="CY258" s="158"/>
      <c r="CZ258" s="158"/>
      <c r="DA258" s="158"/>
      <c r="DB258" s="158"/>
      <c r="DC258" s="158"/>
      <c r="DD258" s="158"/>
      <c r="DE258" s="158"/>
      <c r="DF258" s="158"/>
      <c r="DG258" s="158"/>
      <c r="DH258" s="154" t="str">
        <f>'Pelan Pengambilan'!AF132</f>
        <v/>
      </c>
      <c r="DI258" s="154"/>
      <c r="DJ258" s="3">
        <f>IFERROR(MIN('Pelan Pengambilan'!H132,'Pelan Pengambilan'!J132,'Pelan Pengambilan'!L132,'Pelan Pengambilan'!N132,'Pelan Pengambilan'!P132,'Pelan Pengambilan'!R132,'Pelan Pengambilan'!T132,'Pelan Pengambilan'!V132,'Pelan Pengambilan'!X132,'Pelan Pengambilan'!Z132,'Pelan Pengambilan'!AB132,'Pelan Pengambilan'!AD132),"")</f>
        <v>0</v>
      </c>
      <c r="DK258" s="3">
        <f>IFERROR(MAX('Pelan Pengambilan'!H132,'Pelan Pengambilan'!J132,'Pelan Pengambilan'!L132,'Pelan Pengambilan'!N132,'Pelan Pengambilan'!P132,'Pelan Pengambilan'!R132,'Pelan Pengambilan'!T132,'Pelan Pengambilan'!V132,'Pelan Pengambilan'!X132,'Pelan Pengambilan'!Z132,'Pelan Pengambilan'!AB132,'Pelan Pengambilan'!AD132),"")</f>
        <v>0</v>
      </c>
      <c r="DL258" s="3">
        <f>IFERROR(MIN('Pelan Pengambilan'!I132,'Pelan Pengambilan'!K132,'Pelan Pengambilan'!M132,'Pelan Pengambilan'!O132,'Pelan Pengambilan'!Q132,'Pelan Pengambilan'!S132,'Pelan Pengambilan'!U132,'Pelan Pengambilan'!W132,'Pelan Pengambilan'!Y132,'Pelan Pengambilan'!AA132,'Pelan Pengambilan'!AC132,'Pelan Pengambilan'!AE132),"")</f>
        <v>0</v>
      </c>
      <c r="DM258" s="3">
        <f>IFERROR(MAX('Pelan Pengambilan'!I132,'Pelan Pengambilan'!K132,'Pelan Pengambilan'!M132,'Pelan Pengambilan'!O132,'Pelan Pengambilan'!Q132,'Pelan Pengambilan'!S132,'Pelan Pengambilan'!U132,'Pelan Pengambilan'!W132,'Pelan Pengambilan'!Y132,'Pelan Pengambilan'!AA132,'Pelan Pengambilan'!AC132,'Pelan Pengambilan'!AE132),"")</f>
        <v>0</v>
      </c>
    </row>
    <row r="259" ht="19.5" customHeight="1">
      <c r="A259" s="41"/>
      <c r="B259" s="41"/>
      <c r="C259" s="41"/>
      <c r="D259" s="155" t="s">
        <v>276</v>
      </c>
      <c r="E259" s="41"/>
      <c r="F259" s="41"/>
      <c r="G259" s="158"/>
      <c r="H259" s="158"/>
      <c r="I259" s="158"/>
      <c r="J259" s="158"/>
      <c r="K259" s="158"/>
      <c r="L259" s="158"/>
      <c r="M259" s="158"/>
      <c r="N259" s="158"/>
      <c r="O259" s="158"/>
      <c r="P259" s="158"/>
      <c r="Q259" s="158"/>
      <c r="R259" s="158"/>
      <c r="S259" s="158"/>
      <c r="T259" s="158"/>
      <c r="U259" s="158"/>
      <c r="V259" s="158"/>
      <c r="W259" s="158"/>
      <c r="X259" s="158"/>
      <c r="Y259" s="158"/>
      <c r="Z259" s="158"/>
      <c r="AA259" s="158"/>
      <c r="AB259" s="158"/>
      <c r="AC259" s="158"/>
      <c r="AD259" s="158"/>
      <c r="AE259" s="158"/>
      <c r="AF259" s="158"/>
      <c r="AG259" s="158"/>
      <c r="AH259" s="158"/>
      <c r="AI259" s="158"/>
      <c r="AJ259" s="158"/>
      <c r="AK259" s="158"/>
      <c r="AL259" s="158"/>
      <c r="AM259" s="158"/>
      <c r="AN259" s="158"/>
      <c r="AO259" s="158"/>
      <c r="AP259" s="158"/>
      <c r="AQ259" s="158"/>
      <c r="AR259" s="158"/>
      <c r="AS259" s="158"/>
      <c r="AT259" s="158"/>
      <c r="AU259" s="158"/>
      <c r="AV259" s="158"/>
      <c r="AW259" s="158"/>
      <c r="AX259" s="158"/>
      <c r="AY259" s="158"/>
      <c r="AZ259" s="158"/>
      <c r="BA259" s="158"/>
      <c r="BB259" s="158"/>
      <c r="BC259" s="158"/>
      <c r="BD259" s="158"/>
      <c r="BE259" s="158"/>
      <c r="BF259" s="158"/>
      <c r="BG259" s="158"/>
      <c r="BH259" s="158"/>
      <c r="BI259" s="158"/>
      <c r="BJ259" s="158"/>
      <c r="BK259" s="158"/>
      <c r="BL259" s="158"/>
      <c r="BM259" s="158"/>
      <c r="BN259" s="158"/>
      <c r="BO259" s="158"/>
      <c r="BP259" s="158"/>
      <c r="BQ259" s="158"/>
      <c r="BR259" s="158"/>
      <c r="BS259" s="158"/>
      <c r="BT259" s="158"/>
      <c r="BU259" s="158"/>
      <c r="BV259" s="158"/>
      <c r="BW259" s="158"/>
      <c r="BX259" s="158"/>
      <c r="BY259" s="158"/>
      <c r="BZ259" s="158"/>
      <c r="CA259" s="158"/>
      <c r="CB259" s="158"/>
      <c r="CC259" s="158"/>
      <c r="CD259" s="158"/>
      <c r="CE259" s="158"/>
      <c r="CF259" s="158"/>
      <c r="CG259" s="158"/>
      <c r="CH259" s="158"/>
      <c r="CI259" s="158"/>
      <c r="CJ259" s="158"/>
      <c r="CK259" s="158"/>
      <c r="CL259" s="158"/>
      <c r="CM259" s="158"/>
      <c r="CN259" s="158"/>
      <c r="CO259" s="158"/>
      <c r="CP259" s="158"/>
      <c r="CQ259" s="158"/>
      <c r="CR259" s="158"/>
      <c r="CS259" s="158"/>
      <c r="CT259" s="158"/>
      <c r="CU259" s="158"/>
      <c r="CV259" s="158"/>
      <c r="CW259" s="158"/>
      <c r="CX259" s="158"/>
      <c r="CY259" s="158"/>
      <c r="CZ259" s="158"/>
      <c r="DA259" s="158"/>
      <c r="DB259" s="158"/>
      <c r="DC259" s="158"/>
      <c r="DD259" s="158"/>
      <c r="DE259" s="158"/>
      <c r="DF259" s="158"/>
      <c r="DG259" s="158"/>
      <c r="DH259" s="41"/>
      <c r="DI259" s="41"/>
      <c r="DJ259" s="3"/>
      <c r="DK259" s="3"/>
      <c r="DL259" s="3"/>
      <c r="DM259" s="3"/>
    </row>
    <row r="260" ht="19.5" customHeight="1">
      <c r="A260" s="153" t="str">
        <f>'Pelan Pengambilan'!B133</f>
        <v/>
      </c>
      <c r="B260" s="154" t="str">
        <f>'Pelan Pengambilan'!C133</f>
        <v/>
      </c>
      <c r="C260" s="153" t="str">
        <f t="array" ref="C260">IFERROR(IF(INDEX(Strategi!$F$5:$F$134,MATCH(LARGE(Strategi!$K$5:$K$134,128),Strategi!$K$5:$K$134,0))="","","("&amp;COUNTIFS('Pelan Pengambilan'!$B$6:$B$133,'Pelan Pengambilan'!$B133,'Pelan Pengambilan'!$C$6:$C$133,'Pelan Pengambilan'!$C133)&amp;") "&amp;INDEX(Strategi!$F$5:$F$134,MATCH(LARGE(Strategi!$K$5:$K$134,128),Strategi!$K$5:$K$134,0))),"")</f>
        <v/>
      </c>
      <c r="D260" s="155" t="s">
        <v>275</v>
      </c>
      <c r="E260" s="156" t="str">
        <f>IFERROR(IF(COUNT('Pelan Pengambilan'!H133,'Pelan Pengambilan'!J133,'Pelan Pengambilan'!L133,'Pelan Pengambilan'!N133,'Pelan Pengambilan'!P133,'Pelan Pengambilan'!R133,'Pelan Pengambilan'!T133,'Pelan Pengambilan'!V133,'Pelan Pengambilan'!X133,'Pelan Pengambilan'!Z133,'Pelan Pengambilan'!AB133,'Pelan Pengambilan'!AD133)=0,"",COUNT('Pelan Pengambilan'!I133,'Pelan Pengambilan'!K133,'Pelan Pengambilan'!M133,'Pelan Pengambilan'!O133,'Pelan Pengambilan'!Q133,'Pelan Pengambilan'!S133,'Pelan Pengambilan'!U133,'Pelan Pengambilan'!W133,'Pelan Pengambilan'!Y133,'Pelan Pengambilan'!AA133,'Pelan Pengambilan'!AC133,'Pelan Pengambilan'!AE133)/COUNT('Pelan Pengambilan'!H133,'Pelan Pengambilan'!J133,'Pelan Pengambilan'!L133,'Pelan Pengambilan'!N133,'Pelan Pengambilan'!P133,'Pelan Pengambilan'!R133,'Pelan Pengambilan'!T133,'Pelan Pengambilan'!V133,'Pelan Pengambilan'!X133,'Pelan Pengambilan'!Z133,'Pelan Pengambilan'!AB133,'Pelan Pengambilan'!AD133)),"")</f>
        <v/>
      </c>
      <c r="F260" s="157" t="str">
        <f>IFERROR(IF('Pelan Pengambilan'!G133="","",'Pelan Pengambilan'!G133),"")</f>
        <v/>
      </c>
      <c r="G260" s="158"/>
      <c r="H260" s="158"/>
      <c r="I260" s="158"/>
      <c r="J260" s="158"/>
      <c r="K260" s="158"/>
      <c r="L260" s="158"/>
      <c r="M260" s="158"/>
      <c r="N260" s="158"/>
      <c r="O260" s="158"/>
      <c r="P260" s="158"/>
      <c r="Q260" s="158"/>
      <c r="R260" s="158"/>
      <c r="S260" s="158"/>
      <c r="T260" s="158"/>
      <c r="U260" s="158"/>
      <c r="V260" s="158"/>
      <c r="W260" s="158"/>
      <c r="X260" s="158"/>
      <c r="Y260" s="158"/>
      <c r="Z260" s="158"/>
      <c r="AA260" s="158"/>
      <c r="AB260" s="158"/>
      <c r="AC260" s="158"/>
      <c r="AD260" s="158"/>
      <c r="AE260" s="158"/>
      <c r="AF260" s="158"/>
      <c r="AG260" s="158"/>
      <c r="AH260" s="158"/>
      <c r="AI260" s="158"/>
      <c r="AJ260" s="158"/>
      <c r="AK260" s="158"/>
      <c r="AL260" s="158"/>
      <c r="AM260" s="158"/>
      <c r="AN260" s="158"/>
      <c r="AO260" s="158"/>
      <c r="AP260" s="158"/>
      <c r="AQ260" s="158"/>
      <c r="AR260" s="158"/>
      <c r="AS260" s="158"/>
      <c r="AT260" s="158"/>
      <c r="AU260" s="158"/>
      <c r="AV260" s="158"/>
      <c r="AW260" s="158"/>
      <c r="AX260" s="158"/>
      <c r="AY260" s="158"/>
      <c r="AZ260" s="158"/>
      <c r="BA260" s="158"/>
      <c r="BB260" s="158"/>
      <c r="BC260" s="158"/>
      <c r="BD260" s="158"/>
      <c r="BE260" s="158"/>
      <c r="BF260" s="158"/>
      <c r="BG260" s="158"/>
      <c r="BH260" s="158"/>
      <c r="BI260" s="158"/>
      <c r="BJ260" s="158"/>
      <c r="BK260" s="158"/>
      <c r="BL260" s="158"/>
      <c r="BM260" s="158"/>
      <c r="BN260" s="158"/>
      <c r="BO260" s="158"/>
      <c r="BP260" s="158"/>
      <c r="BQ260" s="158"/>
      <c r="BR260" s="158"/>
      <c r="BS260" s="158"/>
      <c r="BT260" s="158"/>
      <c r="BU260" s="158"/>
      <c r="BV260" s="158"/>
      <c r="BW260" s="158"/>
      <c r="BX260" s="158"/>
      <c r="BY260" s="158"/>
      <c r="BZ260" s="158"/>
      <c r="CA260" s="158"/>
      <c r="CB260" s="158"/>
      <c r="CC260" s="158"/>
      <c r="CD260" s="158"/>
      <c r="CE260" s="158"/>
      <c r="CF260" s="158"/>
      <c r="CG260" s="158"/>
      <c r="CH260" s="158"/>
      <c r="CI260" s="158"/>
      <c r="CJ260" s="158"/>
      <c r="CK260" s="158"/>
      <c r="CL260" s="158"/>
      <c r="CM260" s="158"/>
      <c r="CN260" s="158"/>
      <c r="CO260" s="158"/>
      <c r="CP260" s="158"/>
      <c r="CQ260" s="158"/>
      <c r="CR260" s="158"/>
      <c r="CS260" s="158"/>
      <c r="CT260" s="158"/>
      <c r="CU260" s="158"/>
      <c r="CV260" s="158"/>
      <c r="CW260" s="158"/>
      <c r="CX260" s="158"/>
      <c r="CY260" s="158"/>
      <c r="CZ260" s="158"/>
      <c r="DA260" s="158"/>
      <c r="DB260" s="158"/>
      <c r="DC260" s="158"/>
      <c r="DD260" s="158"/>
      <c r="DE260" s="158"/>
      <c r="DF260" s="158"/>
      <c r="DG260" s="158"/>
      <c r="DH260" s="154" t="str">
        <f>'Pelan Pengambilan'!AF133</f>
        <v/>
      </c>
      <c r="DI260" s="154"/>
      <c r="DJ260" s="3">
        <f>IFERROR(MIN('Pelan Pengambilan'!H133,'Pelan Pengambilan'!J133,'Pelan Pengambilan'!L133,'Pelan Pengambilan'!N133,'Pelan Pengambilan'!P133,'Pelan Pengambilan'!R133,'Pelan Pengambilan'!T133,'Pelan Pengambilan'!V133,'Pelan Pengambilan'!X133,'Pelan Pengambilan'!Z133,'Pelan Pengambilan'!AB133,'Pelan Pengambilan'!AD133),"")</f>
        <v>0</v>
      </c>
      <c r="DK260" s="3">
        <f>IFERROR(MAX('Pelan Pengambilan'!H133,'Pelan Pengambilan'!J133,'Pelan Pengambilan'!L133,'Pelan Pengambilan'!N133,'Pelan Pengambilan'!P133,'Pelan Pengambilan'!R133,'Pelan Pengambilan'!T133,'Pelan Pengambilan'!V133,'Pelan Pengambilan'!X133,'Pelan Pengambilan'!Z133,'Pelan Pengambilan'!AB133,'Pelan Pengambilan'!AD133),"")</f>
        <v>0</v>
      </c>
      <c r="DL260" s="3">
        <f>IFERROR(MIN('Pelan Pengambilan'!I133,'Pelan Pengambilan'!K133,'Pelan Pengambilan'!M133,'Pelan Pengambilan'!O133,'Pelan Pengambilan'!Q133,'Pelan Pengambilan'!S133,'Pelan Pengambilan'!U133,'Pelan Pengambilan'!W133,'Pelan Pengambilan'!Y133,'Pelan Pengambilan'!AA133,'Pelan Pengambilan'!AC133,'Pelan Pengambilan'!AE133),"")</f>
        <v>0</v>
      </c>
      <c r="DM260" s="3">
        <f>IFERROR(MAX('Pelan Pengambilan'!I133,'Pelan Pengambilan'!K133,'Pelan Pengambilan'!M133,'Pelan Pengambilan'!O133,'Pelan Pengambilan'!Q133,'Pelan Pengambilan'!S133,'Pelan Pengambilan'!U133,'Pelan Pengambilan'!W133,'Pelan Pengambilan'!Y133,'Pelan Pengambilan'!AA133,'Pelan Pengambilan'!AC133,'Pelan Pengambilan'!AE133),"")</f>
        <v>0</v>
      </c>
    </row>
    <row r="261" ht="19.5" customHeight="1">
      <c r="A261" s="41"/>
      <c r="B261" s="41"/>
      <c r="C261" s="41"/>
      <c r="D261" s="155" t="s">
        <v>276</v>
      </c>
      <c r="E261" s="41"/>
      <c r="F261" s="41"/>
      <c r="G261" s="158"/>
      <c r="H261" s="158"/>
      <c r="I261" s="158"/>
      <c r="J261" s="158"/>
      <c r="K261" s="158"/>
      <c r="L261" s="158"/>
      <c r="M261" s="158"/>
      <c r="N261" s="158"/>
      <c r="O261" s="158"/>
      <c r="P261" s="158"/>
      <c r="Q261" s="158"/>
      <c r="R261" s="158"/>
      <c r="S261" s="158"/>
      <c r="T261" s="158"/>
      <c r="U261" s="158"/>
      <c r="V261" s="158"/>
      <c r="W261" s="158"/>
      <c r="X261" s="158"/>
      <c r="Y261" s="158"/>
      <c r="Z261" s="158"/>
      <c r="AA261" s="158"/>
      <c r="AB261" s="158"/>
      <c r="AC261" s="158"/>
      <c r="AD261" s="158"/>
      <c r="AE261" s="158"/>
      <c r="AF261" s="158"/>
      <c r="AG261" s="158"/>
      <c r="AH261" s="158"/>
      <c r="AI261" s="158"/>
      <c r="AJ261" s="158"/>
      <c r="AK261" s="158"/>
      <c r="AL261" s="158"/>
      <c r="AM261" s="158"/>
      <c r="AN261" s="158"/>
      <c r="AO261" s="158"/>
      <c r="AP261" s="158"/>
      <c r="AQ261" s="158"/>
      <c r="AR261" s="158"/>
      <c r="AS261" s="158"/>
      <c r="AT261" s="158"/>
      <c r="AU261" s="158"/>
      <c r="AV261" s="158"/>
      <c r="AW261" s="158"/>
      <c r="AX261" s="158"/>
      <c r="AY261" s="158"/>
      <c r="AZ261" s="158"/>
      <c r="BA261" s="158"/>
      <c r="BB261" s="158"/>
      <c r="BC261" s="158"/>
      <c r="BD261" s="158"/>
      <c r="BE261" s="158"/>
      <c r="BF261" s="158"/>
      <c r="BG261" s="158"/>
      <c r="BH261" s="158"/>
      <c r="BI261" s="158"/>
      <c r="BJ261" s="158"/>
      <c r="BK261" s="158"/>
      <c r="BL261" s="158"/>
      <c r="BM261" s="158"/>
      <c r="BN261" s="158"/>
      <c r="BO261" s="158"/>
      <c r="BP261" s="158"/>
      <c r="BQ261" s="158"/>
      <c r="BR261" s="158"/>
      <c r="BS261" s="158"/>
      <c r="BT261" s="158"/>
      <c r="BU261" s="158"/>
      <c r="BV261" s="158"/>
      <c r="BW261" s="158"/>
      <c r="BX261" s="158"/>
      <c r="BY261" s="158"/>
      <c r="BZ261" s="158"/>
      <c r="CA261" s="158"/>
      <c r="CB261" s="158"/>
      <c r="CC261" s="158"/>
      <c r="CD261" s="158"/>
      <c r="CE261" s="158"/>
      <c r="CF261" s="158"/>
      <c r="CG261" s="158"/>
      <c r="CH261" s="158"/>
      <c r="CI261" s="158"/>
      <c r="CJ261" s="158"/>
      <c r="CK261" s="158"/>
      <c r="CL261" s="158"/>
      <c r="CM261" s="158"/>
      <c r="CN261" s="158"/>
      <c r="CO261" s="158"/>
      <c r="CP261" s="158"/>
      <c r="CQ261" s="158"/>
      <c r="CR261" s="158"/>
      <c r="CS261" s="158"/>
      <c r="CT261" s="158"/>
      <c r="CU261" s="158"/>
      <c r="CV261" s="158"/>
      <c r="CW261" s="158"/>
      <c r="CX261" s="158"/>
      <c r="CY261" s="158"/>
      <c r="CZ261" s="158"/>
      <c r="DA261" s="158"/>
      <c r="DB261" s="158"/>
      <c r="DC261" s="158"/>
      <c r="DD261" s="158"/>
      <c r="DE261" s="158"/>
      <c r="DF261" s="158"/>
      <c r="DG261" s="158"/>
      <c r="DH261" s="41"/>
      <c r="DI261" s="41"/>
      <c r="DJ261" s="3"/>
      <c r="DK261" s="3"/>
      <c r="DL261" s="3"/>
      <c r="DM261" s="3"/>
    </row>
    <row r="262" ht="19.5" customHeight="1">
      <c r="A262" s="153" t="str">
        <f>'Pelan Pengambilan'!B134</f>
        <v/>
      </c>
      <c r="B262" s="154" t="str">
        <f>'Pelan Pengambilan'!C134</f>
        <v/>
      </c>
      <c r="C262" s="153" t="str">
        <f t="array" ref="C262">IFERROR(IF(INDEX(Strategi!$F$5:$F$134,MATCH(LARGE(Strategi!$K$5:$K$134,129),Strategi!$K$5:$K$134,0))="","","("&amp;COUNTIFS('Pelan Pengambilan'!$B$6:$B$134,'Pelan Pengambilan'!$B134,'Pelan Pengambilan'!$C$6:$C$134,'Pelan Pengambilan'!$C134)&amp;") "&amp;INDEX(Strategi!$F$5:$F$134,MATCH(LARGE(Strategi!$K$5:$K$134,129),Strategi!$K$5:$K$134,0))),"")</f>
        <v/>
      </c>
      <c r="D262" s="155" t="s">
        <v>275</v>
      </c>
      <c r="E262" s="156" t="str">
        <f>IFERROR(IF(COUNT('Pelan Pengambilan'!H134,'Pelan Pengambilan'!J134,'Pelan Pengambilan'!L134,'Pelan Pengambilan'!N134,'Pelan Pengambilan'!P134,'Pelan Pengambilan'!R134,'Pelan Pengambilan'!T134,'Pelan Pengambilan'!V134,'Pelan Pengambilan'!X134,'Pelan Pengambilan'!Z134,'Pelan Pengambilan'!AB134,'Pelan Pengambilan'!AD134)=0,"",COUNT('Pelan Pengambilan'!I134,'Pelan Pengambilan'!K134,'Pelan Pengambilan'!M134,'Pelan Pengambilan'!O134,'Pelan Pengambilan'!Q134,'Pelan Pengambilan'!S134,'Pelan Pengambilan'!U134,'Pelan Pengambilan'!W134,'Pelan Pengambilan'!Y134,'Pelan Pengambilan'!AA134,'Pelan Pengambilan'!AC134,'Pelan Pengambilan'!AE134)/COUNT('Pelan Pengambilan'!H134,'Pelan Pengambilan'!J134,'Pelan Pengambilan'!L134,'Pelan Pengambilan'!N134,'Pelan Pengambilan'!P134,'Pelan Pengambilan'!R134,'Pelan Pengambilan'!T134,'Pelan Pengambilan'!V134,'Pelan Pengambilan'!X134,'Pelan Pengambilan'!Z134,'Pelan Pengambilan'!AB134,'Pelan Pengambilan'!AD134)),"")</f>
        <v/>
      </c>
      <c r="F262" s="157" t="str">
        <f>IFERROR(IF('Pelan Pengambilan'!G134="","",'Pelan Pengambilan'!G134),"")</f>
        <v/>
      </c>
      <c r="G262" s="158"/>
      <c r="H262" s="158"/>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T262" s="158"/>
      <c r="AU262" s="158"/>
      <c r="AV262" s="158"/>
      <c r="AW262" s="158"/>
      <c r="AX262" s="158"/>
      <c r="AY262" s="158"/>
      <c r="AZ262" s="158"/>
      <c r="BA262" s="158"/>
      <c r="BB262" s="158"/>
      <c r="BC262" s="158"/>
      <c r="BD262" s="158"/>
      <c r="BE262" s="158"/>
      <c r="BF262" s="158"/>
      <c r="BG262" s="158"/>
      <c r="BH262" s="158"/>
      <c r="BI262" s="158"/>
      <c r="BJ262" s="158"/>
      <c r="BK262" s="158"/>
      <c r="BL262" s="158"/>
      <c r="BM262" s="158"/>
      <c r="BN262" s="158"/>
      <c r="BO262" s="158"/>
      <c r="BP262" s="158"/>
      <c r="BQ262" s="158"/>
      <c r="BR262" s="158"/>
      <c r="BS262" s="158"/>
      <c r="BT262" s="158"/>
      <c r="BU262" s="158"/>
      <c r="BV262" s="158"/>
      <c r="BW262" s="158"/>
      <c r="BX262" s="158"/>
      <c r="BY262" s="158"/>
      <c r="BZ262" s="158"/>
      <c r="CA262" s="158"/>
      <c r="CB262" s="158"/>
      <c r="CC262" s="158"/>
      <c r="CD262" s="158"/>
      <c r="CE262" s="158"/>
      <c r="CF262" s="158"/>
      <c r="CG262" s="158"/>
      <c r="CH262" s="158"/>
      <c r="CI262" s="158"/>
      <c r="CJ262" s="158"/>
      <c r="CK262" s="158"/>
      <c r="CL262" s="158"/>
      <c r="CM262" s="158"/>
      <c r="CN262" s="158"/>
      <c r="CO262" s="158"/>
      <c r="CP262" s="158"/>
      <c r="CQ262" s="158"/>
      <c r="CR262" s="158"/>
      <c r="CS262" s="158"/>
      <c r="CT262" s="158"/>
      <c r="CU262" s="158"/>
      <c r="CV262" s="158"/>
      <c r="CW262" s="158"/>
      <c r="CX262" s="158"/>
      <c r="CY262" s="158"/>
      <c r="CZ262" s="158"/>
      <c r="DA262" s="158"/>
      <c r="DB262" s="158"/>
      <c r="DC262" s="158"/>
      <c r="DD262" s="158"/>
      <c r="DE262" s="158"/>
      <c r="DF262" s="158"/>
      <c r="DG262" s="158"/>
      <c r="DH262" s="154" t="str">
        <f>'Pelan Pengambilan'!AF134</f>
        <v/>
      </c>
      <c r="DI262" s="154"/>
      <c r="DJ262" s="3">
        <f>IFERROR(MIN('Pelan Pengambilan'!H134,'Pelan Pengambilan'!J134,'Pelan Pengambilan'!L134,'Pelan Pengambilan'!N134,'Pelan Pengambilan'!P134,'Pelan Pengambilan'!R134,'Pelan Pengambilan'!T134,'Pelan Pengambilan'!V134,'Pelan Pengambilan'!X134,'Pelan Pengambilan'!Z134,'Pelan Pengambilan'!AB134,'Pelan Pengambilan'!AD134),"")</f>
        <v>0</v>
      </c>
      <c r="DK262" s="3">
        <f>IFERROR(MAX('Pelan Pengambilan'!H134,'Pelan Pengambilan'!J134,'Pelan Pengambilan'!L134,'Pelan Pengambilan'!N134,'Pelan Pengambilan'!P134,'Pelan Pengambilan'!R134,'Pelan Pengambilan'!T134,'Pelan Pengambilan'!V134,'Pelan Pengambilan'!X134,'Pelan Pengambilan'!Z134,'Pelan Pengambilan'!AB134,'Pelan Pengambilan'!AD134),"")</f>
        <v>0</v>
      </c>
      <c r="DL262" s="3">
        <f>IFERROR(MIN('Pelan Pengambilan'!I134,'Pelan Pengambilan'!K134,'Pelan Pengambilan'!M134,'Pelan Pengambilan'!O134,'Pelan Pengambilan'!Q134,'Pelan Pengambilan'!S134,'Pelan Pengambilan'!U134,'Pelan Pengambilan'!W134,'Pelan Pengambilan'!Y134,'Pelan Pengambilan'!AA134,'Pelan Pengambilan'!AC134,'Pelan Pengambilan'!AE134),"")</f>
        <v>0</v>
      </c>
      <c r="DM262" s="3">
        <f>IFERROR(MAX('Pelan Pengambilan'!I134,'Pelan Pengambilan'!K134,'Pelan Pengambilan'!M134,'Pelan Pengambilan'!O134,'Pelan Pengambilan'!Q134,'Pelan Pengambilan'!S134,'Pelan Pengambilan'!U134,'Pelan Pengambilan'!W134,'Pelan Pengambilan'!Y134,'Pelan Pengambilan'!AA134,'Pelan Pengambilan'!AC134,'Pelan Pengambilan'!AE134),"")</f>
        <v>0</v>
      </c>
    </row>
    <row r="263" ht="19.5" customHeight="1">
      <c r="A263" s="41"/>
      <c r="B263" s="41"/>
      <c r="C263" s="41"/>
      <c r="D263" s="155" t="s">
        <v>276</v>
      </c>
      <c r="E263" s="41"/>
      <c r="F263" s="41"/>
      <c r="G263" s="158"/>
      <c r="H263" s="158"/>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c r="AF263" s="158"/>
      <c r="AG263" s="158"/>
      <c r="AH263" s="158"/>
      <c r="AI263" s="158"/>
      <c r="AJ263" s="158"/>
      <c r="AK263" s="158"/>
      <c r="AL263" s="158"/>
      <c r="AM263" s="158"/>
      <c r="AN263" s="158"/>
      <c r="AO263" s="158"/>
      <c r="AP263" s="158"/>
      <c r="AQ263" s="158"/>
      <c r="AR263" s="158"/>
      <c r="AS263" s="158"/>
      <c r="AT263" s="158"/>
      <c r="AU263" s="158"/>
      <c r="AV263" s="158"/>
      <c r="AW263" s="158"/>
      <c r="AX263" s="158"/>
      <c r="AY263" s="158"/>
      <c r="AZ263" s="158"/>
      <c r="BA263" s="158"/>
      <c r="BB263" s="158"/>
      <c r="BC263" s="158"/>
      <c r="BD263" s="158"/>
      <c r="BE263" s="158"/>
      <c r="BF263" s="158"/>
      <c r="BG263" s="158"/>
      <c r="BH263" s="158"/>
      <c r="BI263" s="158"/>
      <c r="BJ263" s="158"/>
      <c r="BK263" s="158"/>
      <c r="BL263" s="158"/>
      <c r="BM263" s="158"/>
      <c r="BN263" s="158"/>
      <c r="BO263" s="158"/>
      <c r="BP263" s="158"/>
      <c r="BQ263" s="158"/>
      <c r="BR263" s="158"/>
      <c r="BS263" s="158"/>
      <c r="BT263" s="158"/>
      <c r="BU263" s="158"/>
      <c r="BV263" s="158"/>
      <c r="BW263" s="158"/>
      <c r="BX263" s="158"/>
      <c r="BY263" s="158"/>
      <c r="BZ263" s="158"/>
      <c r="CA263" s="158"/>
      <c r="CB263" s="158"/>
      <c r="CC263" s="158"/>
      <c r="CD263" s="158"/>
      <c r="CE263" s="158"/>
      <c r="CF263" s="158"/>
      <c r="CG263" s="158"/>
      <c r="CH263" s="158"/>
      <c r="CI263" s="158"/>
      <c r="CJ263" s="158"/>
      <c r="CK263" s="158"/>
      <c r="CL263" s="158"/>
      <c r="CM263" s="158"/>
      <c r="CN263" s="158"/>
      <c r="CO263" s="158"/>
      <c r="CP263" s="158"/>
      <c r="CQ263" s="158"/>
      <c r="CR263" s="158"/>
      <c r="CS263" s="158"/>
      <c r="CT263" s="158"/>
      <c r="CU263" s="158"/>
      <c r="CV263" s="158"/>
      <c r="CW263" s="158"/>
      <c r="CX263" s="158"/>
      <c r="CY263" s="158"/>
      <c r="CZ263" s="158"/>
      <c r="DA263" s="158"/>
      <c r="DB263" s="158"/>
      <c r="DC263" s="158"/>
      <c r="DD263" s="158"/>
      <c r="DE263" s="158"/>
      <c r="DF263" s="158"/>
      <c r="DG263" s="158"/>
      <c r="DH263" s="41"/>
      <c r="DI263" s="41"/>
      <c r="DJ263" s="3"/>
      <c r="DK263" s="3"/>
      <c r="DL263" s="3"/>
      <c r="DM263" s="3"/>
    </row>
    <row r="264" ht="19.5" customHeight="1">
      <c r="A264" s="153" t="str">
        <f>'Pelan Pengambilan'!B135</f>
        <v/>
      </c>
      <c r="B264" s="154" t="str">
        <f>'Pelan Pengambilan'!C135</f>
        <v/>
      </c>
      <c r="C264" s="153" t="str">
        <f t="array" ref="C264">IFERROR(IF(INDEX(Strategi!$F$5:$F$134,MATCH(LARGE(Strategi!$K$5:$K$134,130),Strategi!$K$5:$K$134,0))="","","("&amp;COUNTIFS('Pelan Pengambilan'!$B$6:$B$135,'Pelan Pengambilan'!$B135,'Pelan Pengambilan'!$C$6:$C$135,'Pelan Pengambilan'!$C135)&amp;") "&amp;INDEX(Strategi!$F$5:$F$134,MATCH(LARGE(Strategi!$K$5:$K$134,130),Strategi!$K$5:$K$134,0))),"")</f>
        <v/>
      </c>
      <c r="D264" s="155" t="s">
        <v>275</v>
      </c>
      <c r="E264" s="156" t="str">
        <f>IFERROR(IF(COUNT('Pelan Pengambilan'!H135,'Pelan Pengambilan'!J135,'Pelan Pengambilan'!L135,'Pelan Pengambilan'!N135,'Pelan Pengambilan'!P135,'Pelan Pengambilan'!R135,'Pelan Pengambilan'!T135,'Pelan Pengambilan'!V135,'Pelan Pengambilan'!X135,'Pelan Pengambilan'!Z135,'Pelan Pengambilan'!AB135,'Pelan Pengambilan'!AD135)=0,"",COUNT('Pelan Pengambilan'!I135,'Pelan Pengambilan'!K135,'Pelan Pengambilan'!M135,'Pelan Pengambilan'!O135,'Pelan Pengambilan'!Q135,'Pelan Pengambilan'!S135,'Pelan Pengambilan'!U135,'Pelan Pengambilan'!W135,'Pelan Pengambilan'!Y135,'Pelan Pengambilan'!AA135,'Pelan Pengambilan'!AC135,'Pelan Pengambilan'!AE135)/COUNT('Pelan Pengambilan'!H135,'Pelan Pengambilan'!J135,'Pelan Pengambilan'!L135,'Pelan Pengambilan'!N135,'Pelan Pengambilan'!P135,'Pelan Pengambilan'!R135,'Pelan Pengambilan'!T135,'Pelan Pengambilan'!V135,'Pelan Pengambilan'!X135,'Pelan Pengambilan'!Z135,'Pelan Pengambilan'!AB135,'Pelan Pengambilan'!AD135)),"")</f>
        <v/>
      </c>
      <c r="F264" s="157" t="str">
        <f>IFERROR(IF('Pelan Pengambilan'!G135="","",'Pelan Pengambilan'!G135),"")</f>
        <v/>
      </c>
      <c r="G264" s="158"/>
      <c r="H264" s="158"/>
      <c r="I264" s="158"/>
      <c r="J264" s="158"/>
      <c r="K264" s="158"/>
      <c r="L264" s="158"/>
      <c r="M264" s="158"/>
      <c r="N264" s="158"/>
      <c r="O264" s="158"/>
      <c r="P264" s="158"/>
      <c r="Q264" s="158"/>
      <c r="R264" s="158"/>
      <c r="S264" s="158"/>
      <c r="T264" s="158"/>
      <c r="U264" s="158"/>
      <c r="V264" s="158"/>
      <c r="W264" s="158"/>
      <c r="X264" s="158"/>
      <c r="Y264" s="158"/>
      <c r="Z264" s="158"/>
      <c r="AA264" s="158"/>
      <c r="AB264" s="158"/>
      <c r="AC264" s="158"/>
      <c r="AD264" s="158"/>
      <c r="AE264" s="158"/>
      <c r="AF264" s="158"/>
      <c r="AG264" s="158"/>
      <c r="AH264" s="158"/>
      <c r="AI264" s="158"/>
      <c r="AJ264" s="158"/>
      <c r="AK264" s="158"/>
      <c r="AL264" s="158"/>
      <c r="AM264" s="158"/>
      <c r="AN264" s="158"/>
      <c r="AO264" s="158"/>
      <c r="AP264" s="158"/>
      <c r="AQ264" s="158"/>
      <c r="AR264" s="158"/>
      <c r="AS264" s="158"/>
      <c r="AT264" s="158"/>
      <c r="AU264" s="158"/>
      <c r="AV264" s="158"/>
      <c r="AW264" s="158"/>
      <c r="AX264" s="158"/>
      <c r="AY264" s="158"/>
      <c r="AZ264" s="158"/>
      <c r="BA264" s="158"/>
      <c r="BB264" s="158"/>
      <c r="BC264" s="158"/>
      <c r="BD264" s="158"/>
      <c r="BE264" s="158"/>
      <c r="BF264" s="158"/>
      <c r="BG264" s="158"/>
      <c r="BH264" s="158"/>
      <c r="BI264" s="158"/>
      <c r="BJ264" s="158"/>
      <c r="BK264" s="158"/>
      <c r="BL264" s="158"/>
      <c r="BM264" s="158"/>
      <c r="BN264" s="158"/>
      <c r="BO264" s="158"/>
      <c r="BP264" s="158"/>
      <c r="BQ264" s="158"/>
      <c r="BR264" s="158"/>
      <c r="BS264" s="158"/>
      <c r="BT264" s="158"/>
      <c r="BU264" s="158"/>
      <c r="BV264" s="158"/>
      <c r="BW264" s="158"/>
      <c r="BX264" s="158"/>
      <c r="BY264" s="158"/>
      <c r="BZ264" s="158"/>
      <c r="CA264" s="158"/>
      <c r="CB264" s="158"/>
      <c r="CC264" s="158"/>
      <c r="CD264" s="158"/>
      <c r="CE264" s="158"/>
      <c r="CF264" s="158"/>
      <c r="CG264" s="158"/>
      <c r="CH264" s="158"/>
      <c r="CI264" s="158"/>
      <c r="CJ264" s="158"/>
      <c r="CK264" s="158"/>
      <c r="CL264" s="158"/>
      <c r="CM264" s="158"/>
      <c r="CN264" s="158"/>
      <c r="CO264" s="158"/>
      <c r="CP264" s="158"/>
      <c r="CQ264" s="158"/>
      <c r="CR264" s="158"/>
      <c r="CS264" s="158"/>
      <c r="CT264" s="158"/>
      <c r="CU264" s="158"/>
      <c r="CV264" s="158"/>
      <c r="CW264" s="158"/>
      <c r="CX264" s="158"/>
      <c r="CY264" s="158"/>
      <c r="CZ264" s="158"/>
      <c r="DA264" s="158"/>
      <c r="DB264" s="158"/>
      <c r="DC264" s="158"/>
      <c r="DD264" s="158"/>
      <c r="DE264" s="158"/>
      <c r="DF264" s="158"/>
      <c r="DG264" s="158"/>
      <c r="DH264" s="154" t="str">
        <f>'Pelan Pengambilan'!AF135</f>
        <v/>
      </c>
      <c r="DI264" s="154"/>
      <c r="DJ264" s="3">
        <f>IFERROR(MIN('Pelan Pengambilan'!H135,'Pelan Pengambilan'!J135,'Pelan Pengambilan'!L135,'Pelan Pengambilan'!N135,'Pelan Pengambilan'!P135,'Pelan Pengambilan'!R135,'Pelan Pengambilan'!T135,'Pelan Pengambilan'!V135,'Pelan Pengambilan'!X135,'Pelan Pengambilan'!Z135,'Pelan Pengambilan'!AB135,'Pelan Pengambilan'!AD135),"")</f>
        <v>0</v>
      </c>
      <c r="DK264" s="3">
        <f>IFERROR(MAX('Pelan Pengambilan'!H135,'Pelan Pengambilan'!J135,'Pelan Pengambilan'!L135,'Pelan Pengambilan'!N135,'Pelan Pengambilan'!P135,'Pelan Pengambilan'!R135,'Pelan Pengambilan'!T135,'Pelan Pengambilan'!V135,'Pelan Pengambilan'!X135,'Pelan Pengambilan'!Z135,'Pelan Pengambilan'!AB135,'Pelan Pengambilan'!AD135),"")</f>
        <v>0</v>
      </c>
      <c r="DL264" s="3">
        <f>IFERROR(MIN('Pelan Pengambilan'!I135,'Pelan Pengambilan'!K135,'Pelan Pengambilan'!M135,'Pelan Pengambilan'!O135,'Pelan Pengambilan'!Q135,'Pelan Pengambilan'!S135,'Pelan Pengambilan'!U135,'Pelan Pengambilan'!W135,'Pelan Pengambilan'!Y135,'Pelan Pengambilan'!AA135,'Pelan Pengambilan'!AC135,'Pelan Pengambilan'!AE135),"")</f>
        <v>0</v>
      </c>
      <c r="DM264" s="3">
        <f>IFERROR(MAX('Pelan Pengambilan'!I135,'Pelan Pengambilan'!K135,'Pelan Pengambilan'!M135,'Pelan Pengambilan'!O135,'Pelan Pengambilan'!Q135,'Pelan Pengambilan'!S135,'Pelan Pengambilan'!U135,'Pelan Pengambilan'!W135,'Pelan Pengambilan'!Y135,'Pelan Pengambilan'!AA135,'Pelan Pengambilan'!AC135,'Pelan Pengambilan'!AE135),"")</f>
        <v>0</v>
      </c>
    </row>
    <row r="265" ht="19.5" customHeight="1">
      <c r="A265" s="41"/>
      <c r="B265" s="41"/>
      <c r="C265" s="41"/>
      <c r="D265" s="155" t="s">
        <v>276</v>
      </c>
      <c r="E265" s="41"/>
      <c r="F265" s="41"/>
      <c r="G265" s="158"/>
      <c r="H265" s="158"/>
      <c r="I265" s="158"/>
      <c r="J265" s="158"/>
      <c r="K265" s="158"/>
      <c r="L265" s="158"/>
      <c r="M265" s="158"/>
      <c r="N265" s="158"/>
      <c r="O265" s="158"/>
      <c r="P265" s="158"/>
      <c r="Q265" s="158"/>
      <c r="R265" s="158"/>
      <c r="S265" s="158"/>
      <c r="T265" s="158"/>
      <c r="U265" s="158"/>
      <c r="V265" s="158"/>
      <c r="W265" s="158"/>
      <c r="X265" s="158"/>
      <c r="Y265" s="158"/>
      <c r="Z265" s="158"/>
      <c r="AA265" s="158"/>
      <c r="AB265" s="158"/>
      <c r="AC265" s="158"/>
      <c r="AD265" s="158"/>
      <c r="AE265" s="158"/>
      <c r="AF265" s="158"/>
      <c r="AG265" s="158"/>
      <c r="AH265" s="158"/>
      <c r="AI265" s="158"/>
      <c r="AJ265" s="158"/>
      <c r="AK265" s="158"/>
      <c r="AL265" s="158"/>
      <c r="AM265" s="158"/>
      <c r="AN265" s="158"/>
      <c r="AO265" s="158"/>
      <c r="AP265" s="158"/>
      <c r="AQ265" s="158"/>
      <c r="AR265" s="158"/>
      <c r="AS265" s="158"/>
      <c r="AT265" s="158"/>
      <c r="AU265" s="158"/>
      <c r="AV265" s="158"/>
      <c r="AW265" s="158"/>
      <c r="AX265" s="158"/>
      <c r="AY265" s="158"/>
      <c r="AZ265" s="158"/>
      <c r="BA265" s="158"/>
      <c r="BB265" s="158"/>
      <c r="BC265" s="158"/>
      <c r="BD265" s="158"/>
      <c r="BE265" s="158"/>
      <c r="BF265" s="158"/>
      <c r="BG265" s="158"/>
      <c r="BH265" s="158"/>
      <c r="BI265" s="158"/>
      <c r="BJ265" s="158"/>
      <c r="BK265" s="158"/>
      <c r="BL265" s="158"/>
      <c r="BM265" s="158"/>
      <c r="BN265" s="158"/>
      <c r="BO265" s="158"/>
      <c r="BP265" s="158"/>
      <c r="BQ265" s="158"/>
      <c r="BR265" s="158"/>
      <c r="BS265" s="158"/>
      <c r="BT265" s="158"/>
      <c r="BU265" s="158"/>
      <c r="BV265" s="158"/>
      <c r="BW265" s="158"/>
      <c r="BX265" s="158"/>
      <c r="BY265" s="158"/>
      <c r="BZ265" s="158"/>
      <c r="CA265" s="158"/>
      <c r="CB265" s="158"/>
      <c r="CC265" s="158"/>
      <c r="CD265" s="158"/>
      <c r="CE265" s="158"/>
      <c r="CF265" s="158"/>
      <c r="CG265" s="158"/>
      <c r="CH265" s="158"/>
      <c r="CI265" s="158"/>
      <c r="CJ265" s="158"/>
      <c r="CK265" s="158"/>
      <c r="CL265" s="158"/>
      <c r="CM265" s="158"/>
      <c r="CN265" s="158"/>
      <c r="CO265" s="158"/>
      <c r="CP265" s="158"/>
      <c r="CQ265" s="158"/>
      <c r="CR265" s="158"/>
      <c r="CS265" s="158"/>
      <c r="CT265" s="158"/>
      <c r="CU265" s="158"/>
      <c r="CV265" s="158"/>
      <c r="CW265" s="158"/>
      <c r="CX265" s="158"/>
      <c r="CY265" s="158"/>
      <c r="CZ265" s="158"/>
      <c r="DA265" s="158"/>
      <c r="DB265" s="158"/>
      <c r="DC265" s="158"/>
      <c r="DD265" s="158"/>
      <c r="DE265" s="158"/>
      <c r="DF265" s="158"/>
      <c r="DG265" s="158"/>
      <c r="DH265" s="41"/>
      <c r="DI265" s="41"/>
      <c r="DJ265" s="3"/>
      <c r="DK265" s="3"/>
      <c r="DL265" s="3"/>
      <c r="DM265" s="3"/>
    </row>
  </sheetData>
  <mergeCells count="944">
    <mergeCell ref="A192:A193"/>
    <mergeCell ref="B192:B193"/>
    <mergeCell ref="C192:C193"/>
    <mergeCell ref="F192:F193"/>
    <mergeCell ref="B194:B195"/>
    <mergeCell ref="C194:C195"/>
    <mergeCell ref="F194:F195"/>
    <mergeCell ref="A194:A195"/>
    <mergeCell ref="A196:A197"/>
    <mergeCell ref="B196:B197"/>
    <mergeCell ref="C196:C197"/>
    <mergeCell ref="A198:A199"/>
    <mergeCell ref="B198:B199"/>
    <mergeCell ref="C198:C199"/>
    <mergeCell ref="E182:E183"/>
    <mergeCell ref="E184:E185"/>
    <mergeCell ref="E186:E187"/>
    <mergeCell ref="F186:F187"/>
    <mergeCell ref="E188:E189"/>
    <mergeCell ref="F188:F189"/>
    <mergeCell ref="A182:A183"/>
    <mergeCell ref="B182:B183"/>
    <mergeCell ref="C182:C183"/>
    <mergeCell ref="F182:F183"/>
    <mergeCell ref="B184:B185"/>
    <mergeCell ref="C184:C185"/>
    <mergeCell ref="F184:F185"/>
    <mergeCell ref="A190:A191"/>
    <mergeCell ref="B190:B191"/>
    <mergeCell ref="C190:C191"/>
    <mergeCell ref="E190:E191"/>
    <mergeCell ref="F190:F191"/>
    <mergeCell ref="A184:A185"/>
    <mergeCell ref="A186:A187"/>
    <mergeCell ref="B186:B187"/>
    <mergeCell ref="C186:C187"/>
    <mergeCell ref="A188:A189"/>
    <mergeCell ref="B188:B189"/>
    <mergeCell ref="C188:C189"/>
    <mergeCell ref="E192:E193"/>
    <mergeCell ref="E194:E195"/>
    <mergeCell ref="E196:E197"/>
    <mergeCell ref="F196:F197"/>
    <mergeCell ref="E198:E199"/>
    <mergeCell ref="F198:F199"/>
    <mergeCell ref="A200:A201"/>
    <mergeCell ref="B200:B201"/>
    <mergeCell ref="C200:C201"/>
    <mergeCell ref="E200:E201"/>
    <mergeCell ref="F200:F201"/>
    <mergeCell ref="B208:B209"/>
    <mergeCell ref="C208:C209"/>
    <mergeCell ref="A210:A211"/>
    <mergeCell ref="B210:B211"/>
    <mergeCell ref="C210:C211"/>
    <mergeCell ref="E210:E211"/>
    <mergeCell ref="F210:F211"/>
    <mergeCell ref="E254:E255"/>
    <mergeCell ref="F254:F255"/>
    <mergeCell ref="A250:A251"/>
    <mergeCell ref="A252:A253"/>
    <mergeCell ref="B252:B253"/>
    <mergeCell ref="C252:C253"/>
    <mergeCell ref="E252:E253"/>
    <mergeCell ref="F252:F253"/>
    <mergeCell ref="A254:A255"/>
    <mergeCell ref="E258:E259"/>
    <mergeCell ref="E260:E261"/>
    <mergeCell ref="E262:E263"/>
    <mergeCell ref="F262:F263"/>
    <mergeCell ref="E264:E265"/>
    <mergeCell ref="F264:F265"/>
    <mergeCell ref="A260:A261"/>
    <mergeCell ref="A262:A263"/>
    <mergeCell ref="B262:B263"/>
    <mergeCell ref="C262:C263"/>
    <mergeCell ref="A264:A265"/>
    <mergeCell ref="B264:B265"/>
    <mergeCell ref="C264:C265"/>
    <mergeCell ref="A258:A259"/>
    <mergeCell ref="B258:B259"/>
    <mergeCell ref="C258:C259"/>
    <mergeCell ref="F258:F259"/>
    <mergeCell ref="B260:B261"/>
    <mergeCell ref="C260:C261"/>
    <mergeCell ref="F260:F261"/>
    <mergeCell ref="E232:E233"/>
    <mergeCell ref="E234:E235"/>
    <mergeCell ref="A232:A233"/>
    <mergeCell ref="B232:B233"/>
    <mergeCell ref="C232:C233"/>
    <mergeCell ref="F232:F233"/>
    <mergeCell ref="B234:B235"/>
    <mergeCell ref="C234:C235"/>
    <mergeCell ref="F234:F235"/>
    <mergeCell ref="E238:E239"/>
    <mergeCell ref="E240:E241"/>
    <mergeCell ref="E242:E243"/>
    <mergeCell ref="F242:F243"/>
    <mergeCell ref="E244:E245"/>
    <mergeCell ref="F244:F245"/>
    <mergeCell ref="A238:A239"/>
    <mergeCell ref="B238:B239"/>
    <mergeCell ref="C238:C239"/>
    <mergeCell ref="F238:F239"/>
    <mergeCell ref="B240:B241"/>
    <mergeCell ref="C240:C241"/>
    <mergeCell ref="F240:F241"/>
    <mergeCell ref="A246:A247"/>
    <mergeCell ref="B246:B247"/>
    <mergeCell ref="C246:C247"/>
    <mergeCell ref="E246:E247"/>
    <mergeCell ref="F246:F247"/>
    <mergeCell ref="A240:A241"/>
    <mergeCell ref="A242:A243"/>
    <mergeCell ref="B242:B243"/>
    <mergeCell ref="C242:C243"/>
    <mergeCell ref="A244:A245"/>
    <mergeCell ref="B244:B245"/>
    <mergeCell ref="C244:C245"/>
    <mergeCell ref="B254:B255"/>
    <mergeCell ref="C254:C255"/>
    <mergeCell ref="A256:A257"/>
    <mergeCell ref="B256:B257"/>
    <mergeCell ref="C256:C257"/>
    <mergeCell ref="E256:E257"/>
    <mergeCell ref="F256:F257"/>
    <mergeCell ref="A162:A163"/>
    <mergeCell ref="B162:B163"/>
    <mergeCell ref="C162:C163"/>
    <mergeCell ref="F162:F163"/>
    <mergeCell ref="B164:B165"/>
    <mergeCell ref="C164:C165"/>
    <mergeCell ref="F164:F165"/>
    <mergeCell ref="A164:A165"/>
    <mergeCell ref="A166:A167"/>
    <mergeCell ref="B166:B167"/>
    <mergeCell ref="C166:C167"/>
    <mergeCell ref="A168:A169"/>
    <mergeCell ref="B168:B169"/>
    <mergeCell ref="C168:C169"/>
    <mergeCell ref="E172:E173"/>
    <mergeCell ref="E174:E175"/>
    <mergeCell ref="A172:A173"/>
    <mergeCell ref="B172:B173"/>
    <mergeCell ref="C172:C173"/>
    <mergeCell ref="F172:F173"/>
    <mergeCell ref="B174:B175"/>
    <mergeCell ref="C174:C175"/>
    <mergeCell ref="F174:F175"/>
    <mergeCell ref="E178:E179"/>
    <mergeCell ref="F178:F179"/>
    <mergeCell ref="A174:A175"/>
    <mergeCell ref="A176:A177"/>
    <mergeCell ref="B176:B177"/>
    <mergeCell ref="C176:C177"/>
    <mergeCell ref="E176:E177"/>
    <mergeCell ref="F176:F177"/>
    <mergeCell ref="A178:A179"/>
    <mergeCell ref="E152:E153"/>
    <mergeCell ref="E154:E155"/>
    <mergeCell ref="E156:E157"/>
    <mergeCell ref="F156:F157"/>
    <mergeCell ref="E158:E159"/>
    <mergeCell ref="F158:F159"/>
    <mergeCell ref="A152:A153"/>
    <mergeCell ref="B152:B153"/>
    <mergeCell ref="C152:C153"/>
    <mergeCell ref="F152:F153"/>
    <mergeCell ref="B154:B155"/>
    <mergeCell ref="C154:C155"/>
    <mergeCell ref="F154:F155"/>
    <mergeCell ref="A160:A161"/>
    <mergeCell ref="B160:B161"/>
    <mergeCell ref="C160:C161"/>
    <mergeCell ref="E160:E161"/>
    <mergeCell ref="F160:F161"/>
    <mergeCell ref="A154:A155"/>
    <mergeCell ref="A156:A157"/>
    <mergeCell ref="B156:B157"/>
    <mergeCell ref="C156:C157"/>
    <mergeCell ref="A158:A159"/>
    <mergeCell ref="B158:B159"/>
    <mergeCell ref="C158:C159"/>
    <mergeCell ref="E162:E163"/>
    <mergeCell ref="E164:E165"/>
    <mergeCell ref="E166:E167"/>
    <mergeCell ref="F166:F167"/>
    <mergeCell ref="E168:E169"/>
    <mergeCell ref="F168:F169"/>
    <mergeCell ref="A170:A171"/>
    <mergeCell ref="B170:B171"/>
    <mergeCell ref="C170:C171"/>
    <mergeCell ref="E170:E171"/>
    <mergeCell ref="F170:F171"/>
    <mergeCell ref="B178:B179"/>
    <mergeCell ref="C178:C179"/>
    <mergeCell ref="A180:A181"/>
    <mergeCell ref="B180:B181"/>
    <mergeCell ref="C180:C181"/>
    <mergeCell ref="E180:E181"/>
    <mergeCell ref="F180:F181"/>
    <mergeCell ref="E202:E203"/>
    <mergeCell ref="E204:E205"/>
    <mergeCell ref="A202:A203"/>
    <mergeCell ref="B202:B203"/>
    <mergeCell ref="C202:C203"/>
    <mergeCell ref="F202:F203"/>
    <mergeCell ref="B204:B205"/>
    <mergeCell ref="C204:C205"/>
    <mergeCell ref="F204:F205"/>
    <mergeCell ref="E208:E209"/>
    <mergeCell ref="F208:F209"/>
    <mergeCell ref="A204:A205"/>
    <mergeCell ref="A206:A207"/>
    <mergeCell ref="B206:B207"/>
    <mergeCell ref="C206:C207"/>
    <mergeCell ref="E206:E207"/>
    <mergeCell ref="F206:F207"/>
    <mergeCell ref="A208:A209"/>
    <mergeCell ref="E248:E249"/>
    <mergeCell ref="E250:E251"/>
    <mergeCell ref="A248:A249"/>
    <mergeCell ref="B248:B249"/>
    <mergeCell ref="C248:C249"/>
    <mergeCell ref="F248:F249"/>
    <mergeCell ref="B250:B251"/>
    <mergeCell ref="C250:C251"/>
    <mergeCell ref="F250:F251"/>
    <mergeCell ref="F4:F5"/>
    <mergeCell ref="H4:K4"/>
    <mergeCell ref="L4:O4"/>
    <mergeCell ref="P4:T4"/>
    <mergeCell ref="U4:X4"/>
    <mergeCell ref="Y4:AB4"/>
    <mergeCell ref="AC4:AG4"/>
    <mergeCell ref="AH4:AK4"/>
    <mergeCell ref="AL4:AP4"/>
    <mergeCell ref="AQ4:AT4"/>
    <mergeCell ref="AU4:AX4"/>
    <mergeCell ref="AY4:BC4"/>
    <mergeCell ref="BD4:BG4"/>
    <mergeCell ref="BH4:BK4"/>
    <mergeCell ref="BL4:BO4"/>
    <mergeCell ref="BP4:BT4"/>
    <mergeCell ref="BU4:BX4"/>
    <mergeCell ref="BY4:CC4"/>
    <mergeCell ref="CD4:CG4"/>
    <mergeCell ref="CH4:CK4"/>
    <mergeCell ref="CL4:CP4"/>
    <mergeCell ref="A1:F1"/>
    <mergeCell ref="A2:F2"/>
    <mergeCell ref="A4:A5"/>
    <mergeCell ref="B4:B5"/>
    <mergeCell ref="C4:C5"/>
    <mergeCell ref="D4:D5"/>
    <mergeCell ref="E4:E5"/>
    <mergeCell ref="CQ4:CT4"/>
    <mergeCell ref="CU4:CX4"/>
    <mergeCell ref="CY4:DC4"/>
    <mergeCell ref="DD4:DG4"/>
    <mergeCell ref="DH4:DH5"/>
    <mergeCell ref="DI4:DI5"/>
    <mergeCell ref="DI6:DI7"/>
    <mergeCell ref="A8:A9"/>
    <mergeCell ref="A10:A11"/>
    <mergeCell ref="B10:B11"/>
    <mergeCell ref="C10:C11"/>
    <mergeCell ref="E10:E11"/>
    <mergeCell ref="F10:F11"/>
    <mergeCell ref="DH6:DH7"/>
    <mergeCell ref="DH8:DH9"/>
    <mergeCell ref="DI8:DI9"/>
    <mergeCell ref="DH10:DH11"/>
    <mergeCell ref="DI10:DI11"/>
    <mergeCell ref="DH12:DH13"/>
    <mergeCell ref="DI12:DI13"/>
    <mergeCell ref="E22:E23"/>
    <mergeCell ref="E24:E25"/>
    <mergeCell ref="A22:A23"/>
    <mergeCell ref="B22:B23"/>
    <mergeCell ref="C22:C23"/>
    <mergeCell ref="F22:F23"/>
    <mergeCell ref="B24:B25"/>
    <mergeCell ref="C24:C25"/>
    <mergeCell ref="F24:F25"/>
    <mergeCell ref="E28:E29"/>
    <mergeCell ref="F28:F29"/>
    <mergeCell ref="A24:A25"/>
    <mergeCell ref="A26:A27"/>
    <mergeCell ref="B26:B27"/>
    <mergeCell ref="C26:C27"/>
    <mergeCell ref="E26:E27"/>
    <mergeCell ref="F26:F27"/>
    <mergeCell ref="A28:A29"/>
    <mergeCell ref="E6:E7"/>
    <mergeCell ref="E8:E9"/>
    <mergeCell ref="A6:A7"/>
    <mergeCell ref="B6:B7"/>
    <mergeCell ref="C6:C7"/>
    <mergeCell ref="F6:F7"/>
    <mergeCell ref="B8:B9"/>
    <mergeCell ref="C8:C9"/>
    <mergeCell ref="F8:F9"/>
    <mergeCell ref="E12:E13"/>
    <mergeCell ref="E14:E15"/>
    <mergeCell ref="E16:E17"/>
    <mergeCell ref="F16:F17"/>
    <mergeCell ref="E18:E19"/>
    <mergeCell ref="F18:F19"/>
    <mergeCell ref="A12:A13"/>
    <mergeCell ref="B12:B13"/>
    <mergeCell ref="C12:C13"/>
    <mergeCell ref="F12:F13"/>
    <mergeCell ref="B14:B15"/>
    <mergeCell ref="C14:C15"/>
    <mergeCell ref="F14:F15"/>
    <mergeCell ref="A20:A21"/>
    <mergeCell ref="B20:B21"/>
    <mergeCell ref="C20:C21"/>
    <mergeCell ref="E20:E21"/>
    <mergeCell ref="F20:F21"/>
    <mergeCell ref="A14:A15"/>
    <mergeCell ref="A16:A17"/>
    <mergeCell ref="B16:B17"/>
    <mergeCell ref="C16:C17"/>
    <mergeCell ref="A18:A19"/>
    <mergeCell ref="B18:B19"/>
    <mergeCell ref="C18:C19"/>
    <mergeCell ref="B28:B29"/>
    <mergeCell ref="C28:C29"/>
    <mergeCell ref="A30:A31"/>
    <mergeCell ref="B30:B31"/>
    <mergeCell ref="C30:C31"/>
    <mergeCell ref="E30:E31"/>
    <mergeCell ref="F30:F31"/>
    <mergeCell ref="E52:E53"/>
    <mergeCell ref="E54:E55"/>
    <mergeCell ref="A52:A53"/>
    <mergeCell ref="B52:B53"/>
    <mergeCell ref="C52:C53"/>
    <mergeCell ref="F52:F53"/>
    <mergeCell ref="B54:B55"/>
    <mergeCell ref="C54:C55"/>
    <mergeCell ref="F54:F55"/>
    <mergeCell ref="E58:E59"/>
    <mergeCell ref="F58:F59"/>
    <mergeCell ref="A54:A55"/>
    <mergeCell ref="A56:A57"/>
    <mergeCell ref="B56:B57"/>
    <mergeCell ref="C56:C57"/>
    <mergeCell ref="E56:E57"/>
    <mergeCell ref="F56:F57"/>
    <mergeCell ref="A58:A59"/>
    <mergeCell ref="DH78:DH79"/>
    <mergeCell ref="DH80:DH81"/>
    <mergeCell ref="DH72:DH73"/>
    <mergeCell ref="DI72:DI73"/>
    <mergeCell ref="DH74:DH75"/>
    <mergeCell ref="DI74:DI75"/>
    <mergeCell ref="DH76:DH77"/>
    <mergeCell ref="DI76:DI77"/>
    <mergeCell ref="DI78:DI79"/>
    <mergeCell ref="DI80:DI81"/>
    <mergeCell ref="A42:A43"/>
    <mergeCell ref="B42:B43"/>
    <mergeCell ref="C42:C43"/>
    <mergeCell ref="F42:F43"/>
    <mergeCell ref="B44:B45"/>
    <mergeCell ref="C44:C45"/>
    <mergeCell ref="F44:F45"/>
    <mergeCell ref="A44:A45"/>
    <mergeCell ref="A46:A47"/>
    <mergeCell ref="B46:B47"/>
    <mergeCell ref="C46:C47"/>
    <mergeCell ref="A48:A49"/>
    <mergeCell ref="B48:B49"/>
    <mergeCell ref="C48:C49"/>
    <mergeCell ref="E32:E33"/>
    <mergeCell ref="E34:E35"/>
    <mergeCell ref="E36:E37"/>
    <mergeCell ref="F36:F37"/>
    <mergeCell ref="E38:E39"/>
    <mergeCell ref="F38:F39"/>
    <mergeCell ref="A32:A33"/>
    <mergeCell ref="B32:B33"/>
    <mergeCell ref="C32:C33"/>
    <mergeCell ref="F32:F33"/>
    <mergeCell ref="B34:B35"/>
    <mergeCell ref="C34:C35"/>
    <mergeCell ref="F34:F35"/>
    <mergeCell ref="A40:A41"/>
    <mergeCell ref="B40:B41"/>
    <mergeCell ref="C40:C41"/>
    <mergeCell ref="E40:E41"/>
    <mergeCell ref="F40:F41"/>
    <mergeCell ref="A34:A35"/>
    <mergeCell ref="A36:A37"/>
    <mergeCell ref="B36:B37"/>
    <mergeCell ref="C36:C37"/>
    <mergeCell ref="A38:A39"/>
    <mergeCell ref="B38:B39"/>
    <mergeCell ref="C38:C39"/>
    <mergeCell ref="E42:E43"/>
    <mergeCell ref="E44:E45"/>
    <mergeCell ref="E46:E47"/>
    <mergeCell ref="F46:F47"/>
    <mergeCell ref="E48:E49"/>
    <mergeCell ref="F48:F49"/>
    <mergeCell ref="A50:A51"/>
    <mergeCell ref="B50:B51"/>
    <mergeCell ref="C50:C51"/>
    <mergeCell ref="E50:E51"/>
    <mergeCell ref="F50:F51"/>
    <mergeCell ref="B58:B59"/>
    <mergeCell ref="C58:C59"/>
    <mergeCell ref="A60:A61"/>
    <mergeCell ref="B60:B61"/>
    <mergeCell ref="C60:C61"/>
    <mergeCell ref="E60:E61"/>
    <mergeCell ref="F60:F61"/>
    <mergeCell ref="A72:A73"/>
    <mergeCell ref="B72:B73"/>
    <mergeCell ref="C72:C73"/>
    <mergeCell ref="F72:F73"/>
    <mergeCell ref="B74:B75"/>
    <mergeCell ref="C74:C75"/>
    <mergeCell ref="F74:F75"/>
    <mergeCell ref="A74:A75"/>
    <mergeCell ref="A76:A77"/>
    <mergeCell ref="B76:B77"/>
    <mergeCell ref="C76:C77"/>
    <mergeCell ref="A78:A79"/>
    <mergeCell ref="B78:B79"/>
    <mergeCell ref="C78:C79"/>
    <mergeCell ref="E82:E83"/>
    <mergeCell ref="E84:E85"/>
    <mergeCell ref="A82:A83"/>
    <mergeCell ref="B82:B83"/>
    <mergeCell ref="C82:C83"/>
    <mergeCell ref="F82:F83"/>
    <mergeCell ref="B84:B85"/>
    <mergeCell ref="C84:C85"/>
    <mergeCell ref="F84:F85"/>
    <mergeCell ref="E88:E89"/>
    <mergeCell ref="F88:F89"/>
    <mergeCell ref="A84:A85"/>
    <mergeCell ref="A86:A87"/>
    <mergeCell ref="B86:B87"/>
    <mergeCell ref="C86:C87"/>
    <mergeCell ref="E86:E87"/>
    <mergeCell ref="F86:F87"/>
    <mergeCell ref="A88:A89"/>
    <mergeCell ref="E62:E63"/>
    <mergeCell ref="E64:E65"/>
    <mergeCell ref="E66:E67"/>
    <mergeCell ref="F66:F67"/>
    <mergeCell ref="E68:E69"/>
    <mergeCell ref="F68:F69"/>
    <mergeCell ref="A62:A63"/>
    <mergeCell ref="B62:B63"/>
    <mergeCell ref="C62:C63"/>
    <mergeCell ref="F62:F63"/>
    <mergeCell ref="B64:B65"/>
    <mergeCell ref="C64:C65"/>
    <mergeCell ref="F64:F65"/>
    <mergeCell ref="A70:A71"/>
    <mergeCell ref="B70:B71"/>
    <mergeCell ref="C70:C71"/>
    <mergeCell ref="E70:E71"/>
    <mergeCell ref="F70:F71"/>
    <mergeCell ref="A64:A65"/>
    <mergeCell ref="A66:A67"/>
    <mergeCell ref="B66:B67"/>
    <mergeCell ref="C66:C67"/>
    <mergeCell ref="A68:A69"/>
    <mergeCell ref="B68:B69"/>
    <mergeCell ref="C68:C69"/>
    <mergeCell ref="E72:E73"/>
    <mergeCell ref="E74:E75"/>
    <mergeCell ref="E76:E77"/>
    <mergeCell ref="F76:F77"/>
    <mergeCell ref="E78:E79"/>
    <mergeCell ref="F78:F79"/>
    <mergeCell ref="A80:A81"/>
    <mergeCell ref="B80:B81"/>
    <mergeCell ref="C80:C81"/>
    <mergeCell ref="E80:E81"/>
    <mergeCell ref="F80:F81"/>
    <mergeCell ref="B88:B89"/>
    <mergeCell ref="C88:C89"/>
    <mergeCell ref="A90:A91"/>
    <mergeCell ref="B90:B91"/>
    <mergeCell ref="C90:C91"/>
    <mergeCell ref="E90:E91"/>
    <mergeCell ref="F90:F91"/>
    <mergeCell ref="E112:E113"/>
    <mergeCell ref="E114:E115"/>
    <mergeCell ref="A112:A113"/>
    <mergeCell ref="B112:B113"/>
    <mergeCell ref="C112:C113"/>
    <mergeCell ref="F112:F113"/>
    <mergeCell ref="B114:B115"/>
    <mergeCell ref="C114:C115"/>
    <mergeCell ref="F114:F115"/>
    <mergeCell ref="DH62:DH63"/>
    <mergeCell ref="DH64:DH65"/>
    <mergeCell ref="DH66:DH67"/>
    <mergeCell ref="DH68:DH69"/>
    <mergeCell ref="DI68:DI69"/>
    <mergeCell ref="DH70:DH71"/>
    <mergeCell ref="DI70:DI71"/>
    <mergeCell ref="DI82:DI83"/>
    <mergeCell ref="DH82:DH83"/>
    <mergeCell ref="DH84:DH85"/>
    <mergeCell ref="DI84:DI85"/>
    <mergeCell ref="DH86:DH87"/>
    <mergeCell ref="DI86:DI87"/>
    <mergeCell ref="DH88:DH89"/>
    <mergeCell ref="DI88:DI89"/>
    <mergeCell ref="DH14:DH15"/>
    <mergeCell ref="DI14:DI15"/>
    <mergeCell ref="DH16:DH17"/>
    <mergeCell ref="DI16:DI17"/>
    <mergeCell ref="DH18:DH19"/>
    <mergeCell ref="DI18:DI19"/>
    <mergeCell ref="DI20:DI21"/>
    <mergeCell ref="DH20:DH21"/>
    <mergeCell ref="DH22:DH23"/>
    <mergeCell ref="DH24:DH25"/>
    <mergeCell ref="DH26:DH27"/>
    <mergeCell ref="DH28:DH29"/>
    <mergeCell ref="DH30:DH31"/>
    <mergeCell ref="DH32:DH33"/>
    <mergeCell ref="DI22:DI23"/>
    <mergeCell ref="DI24:DI25"/>
    <mergeCell ref="DI26:DI27"/>
    <mergeCell ref="DI28:DI29"/>
    <mergeCell ref="DI30:DI31"/>
    <mergeCell ref="DI32:DI33"/>
    <mergeCell ref="DI34:DI35"/>
    <mergeCell ref="DH34:DH35"/>
    <mergeCell ref="DH36:DH37"/>
    <mergeCell ref="DH38:DH39"/>
    <mergeCell ref="DH40:DH41"/>
    <mergeCell ref="DH42:DH43"/>
    <mergeCell ref="DH44:DH45"/>
    <mergeCell ref="DH46:DH47"/>
    <mergeCell ref="DI36:DI37"/>
    <mergeCell ref="DI38:DI39"/>
    <mergeCell ref="DI40:DI41"/>
    <mergeCell ref="DI42:DI43"/>
    <mergeCell ref="DI44:DI45"/>
    <mergeCell ref="DI46:DI47"/>
    <mergeCell ref="DI48:DI49"/>
    <mergeCell ref="DH48:DH49"/>
    <mergeCell ref="DH50:DH51"/>
    <mergeCell ref="DH52:DH53"/>
    <mergeCell ref="DH54:DH55"/>
    <mergeCell ref="DH56:DH57"/>
    <mergeCell ref="DH58:DH59"/>
    <mergeCell ref="DH60:DH61"/>
    <mergeCell ref="DI148:DI149"/>
    <mergeCell ref="DI150:DI151"/>
    <mergeCell ref="A102:A103"/>
    <mergeCell ref="B102:B103"/>
    <mergeCell ref="C102:C103"/>
    <mergeCell ref="F102:F103"/>
    <mergeCell ref="B104:B105"/>
    <mergeCell ref="C104:C105"/>
    <mergeCell ref="F104:F105"/>
    <mergeCell ref="A104:A105"/>
    <mergeCell ref="A106:A107"/>
    <mergeCell ref="B106:B107"/>
    <mergeCell ref="C106:C107"/>
    <mergeCell ref="A108:A109"/>
    <mergeCell ref="B108:B109"/>
    <mergeCell ref="C108:C109"/>
    <mergeCell ref="E118:E119"/>
    <mergeCell ref="F118:F119"/>
    <mergeCell ref="A114:A115"/>
    <mergeCell ref="A116:A117"/>
    <mergeCell ref="B116:B117"/>
    <mergeCell ref="C116:C117"/>
    <mergeCell ref="E116:E117"/>
    <mergeCell ref="F116:F117"/>
    <mergeCell ref="A118:A119"/>
    <mergeCell ref="E92:E93"/>
    <mergeCell ref="E94:E95"/>
    <mergeCell ref="E96:E97"/>
    <mergeCell ref="F96:F97"/>
    <mergeCell ref="E98:E99"/>
    <mergeCell ref="F98:F99"/>
    <mergeCell ref="A92:A93"/>
    <mergeCell ref="B92:B93"/>
    <mergeCell ref="C92:C93"/>
    <mergeCell ref="F92:F93"/>
    <mergeCell ref="B94:B95"/>
    <mergeCell ref="C94:C95"/>
    <mergeCell ref="F94:F95"/>
    <mergeCell ref="A100:A101"/>
    <mergeCell ref="B100:B101"/>
    <mergeCell ref="C100:C101"/>
    <mergeCell ref="E100:E101"/>
    <mergeCell ref="F100:F101"/>
    <mergeCell ref="A94:A95"/>
    <mergeCell ref="A96:A97"/>
    <mergeCell ref="B96:B97"/>
    <mergeCell ref="C96:C97"/>
    <mergeCell ref="A98:A99"/>
    <mergeCell ref="B98:B99"/>
    <mergeCell ref="C98:C99"/>
    <mergeCell ref="E102:E103"/>
    <mergeCell ref="E104:E105"/>
    <mergeCell ref="E106:E107"/>
    <mergeCell ref="F106:F107"/>
    <mergeCell ref="E108:E109"/>
    <mergeCell ref="F108:F109"/>
    <mergeCell ref="A110:A111"/>
    <mergeCell ref="B110:B111"/>
    <mergeCell ref="C110:C111"/>
    <mergeCell ref="E110:E111"/>
    <mergeCell ref="F110:F111"/>
    <mergeCell ref="B118:B119"/>
    <mergeCell ref="C118:C119"/>
    <mergeCell ref="A120:A121"/>
    <mergeCell ref="B120:B121"/>
    <mergeCell ref="C120:C121"/>
    <mergeCell ref="E120:E121"/>
    <mergeCell ref="F120:F121"/>
    <mergeCell ref="A132:A133"/>
    <mergeCell ref="B132:B133"/>
    <mergeCell ref="C132:C133"/>
    <mergeCell ref="F132:F133"/>
    <mergeCell ref="B134:B135"/>
    <mergeCell ref="C134:C135"/>
    <mergeCell ref="F134:F135"/>
    <mergeCell ref="A134:A135"/>
    <mergeCell ref="A136:A137"/>
    <mergeCell ref="B136:B137"/>
    <mergeCell ref="C136:C137"/>
    <mergeCell ref="A138:A139"/>
    <mergeCell ref="B138:B139"/>
    <mergeCell ref="C138:C139"/>
    <mergeCell ref="E142:E143"/>
    <mergeCell ref="E144:E145"/>
    <mergeCell ref="A142:A143"/>
    <mergeCell ref="B142:B143"/>
    <mergeCell ref="C142:C143"/>
    <mergeCell ref="F142:F143"/>
    <mergeCell ref="B144:B145"/>
    <mergeCell ref="C144:C145"/>
    <mergeCell ref="F144:F145"/>
    <mergeCell ref="E148:E149"/>
    <mergeCell ref="F148:F149"/>
    <mergeCell ref="A144:A145"/>
    <mergeCell ref="A146:A147"/>
    <mergeCell ref="B146:B147"/>
    <mergeCell ref="C146:C147"/>
    <mergeCell ref="E146:E147"/>
    <mergeCell ref="F146:F147"/>
    <mergeCell ref="A148:A149"/>
    <mergeCell ref="E122:E123"/>
    <mergeCell ref="E124:E125"/>
    <mergeCell ref="E126:E127"/>
    <mergeCell ref="F126:F127"/>
    <mergeCell ref="E128:E129"/>
    <mergeCell ref="F128:F129"/>
    <mergeCell ref="A122:A123"/>
    <mergeCell ref="B122:B123"/>
    <mergeCell ref="C122:C123"/>
    <mergeCell ref="F122:F123"/>
    <mergeCell ref="B124:B125"/>
    <mergeCell ref="C124:C125"/>
    <mergeCell ref="F124:F125"/>
    <mergeCell ref="A130:A131"/>
    <mergeCell ref="B130:B131"/>
    <mergeCell ref="C130:C131"/>
    <mergeCell ref="E130:E131"/>
    <mergeCell ref="F130:F131"/>
    <mergeCell ref="A124:A125"/>
    <mergeCell ref="A126:A127"/>
    <mergeCell ref="B126:B127"/>
    <mergeCell ref="C126:C127"/>
    <mergeCell ref="A128:A129"/>
    <mergeCell ref="B128:B129"/>
    <mergeCell ref="C128:C129"/>
    <mergeCell ref="E132:E133"/>
    <mergeCell ref="E134:E135"/>
    <mergeCell ref="E136:E137"/>
    <mergeCell ref="F136:F137"/>
    <mergeCell ref="E138:E139"/>
    <mergeCell ref="F138:F139"/>
    <mergeCell ref="A140:A141"/>
    <mergeCell ref="B140:B141"/>
    <mergeCell ref="C140:C141"/>
    <mergeCell ref="E140:E141"/>
    <mergeCell ref="F140:F141"/>
    <mergeCell ref="B148:B149"/>
    <mergeCell ref="C148:C149"/>
    <mergeCell ref="A150:A151"/>
    <mergeCell ref="B150:B151"/>
    <mergeCell ref="C150:C151"/>
    <mergeCell ref="E150:E151"/>
    <mergeCell ref="F150:F151"/>
    <mergeCell ref="DI192:DI193"/>
    <mergeCell ref="DI194:DI195"/>
    <mergeCell ref="DI178:DI179"/>
    <mergeCell ref="DI180:DI181"/>
    <mergeCell ref="DI182:DI183"/>
    <mergeCell ref="DI184:DI185"/>
    <mergeCell ref="DI186:DI187"/>
    <mergeCell ref="DI188:DI189"/>
    <mergeCell ref="DI190:DI191"/>
    <mergeCell ref="DI138:DI139"/>
    <mergeCell ref="DI140:DI141"/>
    <mergeCell ref="DH142:DH143"/>
    <mergeCell ref="DI142:DI143"/>
    <mergeCell ref="DH144:DH145"/>
    <mergeCell ref="DI144:DI145"/>
    <mergeCell ref="DI146:DI147"/>
    <mergeCell ref="DH146:DH147"/>
    <mergeCell ref="DH148:DH149"/>
    <mergeCell ref="DH150:DH151"/>
    <mergeCell ref="DH152:DH153"/>
    <mergeCell ref="DI152:DI153"/>
    <mergeCell ref="DH154:DH155"/>
    <mergeCell ref="DI154:DI155"/>
    <mergeCell ref="DH156:DH157"/>
    <mergeCell ref="DI156:DI157"/>
    <mergeCell ref="DH158:DH159"/>
    <mergeCell ref="DI158:DI159"/>
    <mergeCell ref="DH160:DH161"/>
    <mergeCell ref="DI160:DI161"/>
    <mergeCell ref="DI162:DI163"/>
    <mergeCell ref="DH162:DH163"/>
    <mergeCell ref="DH164:DH165"/>
    <mergeCell ref="DH166:DH167"/>
    <mergeCell ref="DH168:DH169"/>
    <mergeCell ref="DH170:DH171"/>
    <mergeCell ref="DH172:DH173"/>
    <mergeCell ref="DH174:DH175"/>
    <mergeCell ref="DI164:DI165"/>
    <mergeCell ref="DI166:DI167"/>
    <mergeCell ref="DI168:DI169"/>
    <mergeCell ref="DI170:DI171"/>
    <mergeCell ref="DI172:DI173"/>
    <mergeCell ref="DI174:DI175"/>
    <mergeCell ref="DI176:DI177"/>
    <mergeCell ref="DH176:DH177"/>
    <mergeCell ref="DH178:DH179"/>
    <mergeCell ref="DH180:DH181"/>
    <mergeCell ref="DH182:DH183"/>
    <mergeCell ref="DH184:DH185"/>
    <mergeCell ref="DH186:DH187"/>
    <mergeCell ref="DH188:DH189"/>
    <mergeCell ref="DH190:DH191"/>
    <mergeCell ref="DH192:DH193"/>
    <mergeCell ref="DH194:DH195"/>
    <mergeCell ref="DH196:DH197"/>
    <mergeCell ref="DI196:DI197"/>
    <mergeCell ref="DH198:DH199"/>
    <mergeCell ref="DI198:DI199"/>
    <mergeCell ref="DI64:DI65"/>
    <mergeCell ref="DI66:DI67"/>
    <mergeCell ref="DI50:DI51"/>
    <mergeCell ref="DI52:DI53"/>
    <mergeCell ref="DI54:DI55"/>
    <mergeCell ref="DI56:DI57"/>
    <mergeCell ref="DI58:DI59"/>
    <mergeCell ref="DI60:DI61"/>
    <mergeCell ref="DI62:DI63"/>
    <mergeCell ref="DH96:DH97"/>
    <mergeCell ref="DH98:DH99"/>
    <mergeCell ref="DH100:DH101"/>
    <mergeCell ref="DH90:DH91"/>
    <mergeCell ref="DI90:DI91"/>
    <mergeCell ref="DH92:DH93"/>
    <mergeCell ref="DI92:DI93"/>
    <mergeCell ref="DH94:DH95"/>
    <mergeCell ref="DI94:DI95"/>
    <mergeCell ref="DI96:DI97"/>
    <mergeCell ref="DH106:DH107"/>
    <mergeCell ref="DH108:DH109"/>
    <mergeCell ref="DH110:DH111"/>
    <mergeCell ref="DI98:DI99"/>
    <mergeCell ref="DI100:DI101"/>
    <mergeCell ref="DH102:DH103"/>
    <mergeCell ref="DI102:DI103"/>
    <mergeCell ref="DH104:DH105"/>
    <mergeCell ref="DI104:DI105"/>
    <mergeCell ref="DI106:DI107"/>
    <mergeCell ref="DH116:DH117"/>
    <mergeCell ref="DH118:DH119"/>
    <mergeCell ref="DH120:DH121"/>
    <mergeCell ref="DI108:DI109"/>
    <mergeCell ref="DI110:DI111"/>
    <mergeCell ref="DH112:DH113"/>
    <mergeCell ref="DI112:DI113"/>
    <mergeCell ref="DH114:DH115"/>
    <mergeCell ref="DI114:DI115"/>
    <mergeCell ref="DI116:DI117"/>
    <mergeCell ref="DH126:DH127"/>
    <mergeCell ref="DH128:DH129"/>
    <mergeCell ref="DH130:DH131"/>
    <mergeCell ref="DI118:DI119"/>
    <mergeCell ref="DI120:DI121"/>
    <mergeCell ref="DH122:DH123"/>
    <mergeCell ref="DI122:DI123"/>
    <mergeCell ref="DH124:DH125"/>
    <mergeCell ref="DI124:DI125"/>
    <mergeCell ref="DI126:DI127"/>
    <mergeCell ref="DH136:DH137"/>
    <mergeCell ref="DH138:DH139"/>
    <mergeCell ref="DH140:DH141"/>
    <mergeCell ref="DI128:DI129"/>
    <mergeCell ref="DI130:DI131"/>
    <mergeCell ref="DH132:DH133"/>
    <mergeCell ref="DI132:DI133"/>
    <mergeCell ref="DH134:DH135"/>
    <mergeCell ref="DI134:DI135"/>
    <mergeCell ref="DI136:DI137"/>
    <mergeCell ref="DI250:DI251"/>
    <mergeCell ref="DI252:DI253"/>
    <mergeCell ref="DI236:DI237"/>
    <mergeCell ref="DI238:DI239"/>
    <mergeCell ref="DI240:DI241"/>
    <mergeCell ref="DI242:DI243"/>
    <mergeCell ref="DI244:DI245"/>
    <mergeCell ref="DI246:DI247"/>
    <mergeCell ref="DI248:DI249"/>
    <mergeCell ref="DH200:DH201"/>
    <mergeCell ref="DI200:DI201"/>
    <mergeCell ref="DH202:DH203"/>
    <mergeCell ref="DI202:DI203"/>
    <mergeCell ref="DH204:DH205"/>
    <mergeCell ref="DI204:DI205"/>
    <mergeCell ref="DI206:DI207"/>
    <mergeCell ref="DH206:DH207"/>
    <mergeCell ref="DH208:DH209"/>
    <mergeCell ref="DH210:DH211"/>
    <mergeCell ref="DH212:DH213"/>
    <mergeCell ref="DH214:DH215"/>
    <mergeCell ref="DH216:DH217"/>
    <mergeCell ref="DH218:DH219"/>
    <mergeCell ref="DI208:DI209"/>
    <mergeCell ref="DI210:DI211"/>
    <mergeCell ref="DI212:DI213"/>
    <mergeCell ref="DI214:DI215"/>
    <mergeCell ref="DI216:DI217"/>
    <mergeCell ref="DI218:DI219"/>
    <mergeCell ref="DI220:DI221"/>
    <mergeCell ref="DH220:DH221"/>
    <mergeCell ref="DH222:DH223"/>
    <mergeCell ref="DH224:DH225"/>
    <mergeCell ref="DH226:DH227"/>
    <mergeCell ref="DH228:DH229"/>
    <mergeCell ref="DH230:DH231"/>
    <mergeCell ref="DH232:DH233"/>
    <mergeCell ref="DI222:DI223"/>
    <mergeCell ref="DI224:DI225"/>
    <mergeCell ref="DI226:DI227"/>
    <mergeCell ref="DI228:DI229"/>
    <mergeCell ref="DI230:DI231"/>
    <mergeCell ref="DI232:DI233"/>
    <mergeCell ref="DI234:DI235"/>
    <mergeCell ref="DH234:DH235"/>
    <mergeCell ref="DH236:DH237"/>
    <mergeCell ref="DH238:DH239"/>
    <mergeCell ref="DH240:DH241"/>
    <mergeCell ref="DH242:DH243"/>
    <mergeCell ref="DH244:DH245"/>
    <mergeCell ref="DH246:DH247"/>
    <mergeCell ref="DH258:DH259"/>
    <mergeCell ref="DI258:DI259"/>
    <mergeCell ref="DH260:DH261"/>
    <mergeCell ref="DI260:DI261"/>
    <mergeCell ref="DH262:DH263"/>
    <mergeCell ref="DI262:DI263"/>
    <mergeCell ref="DH264:DH265"/>
    <mergeCell ref="DI264:DI265"/>
    <mergeCell ref="DH248:DH249"/>
    <mergeCell ref="DH250:DH251"/>
    <mergeCell ref="DH252:DH253"/>
    <mergeCell ref="DH254:DH255"/>
    <mergeCell ref="DI254:DI255"/>
    <mergeCell ref="DH256:DH257"/>
    <mergeCell ref="DI256:DI257"/>
    <mergeCell ref="A222:A223"/>
    <mergeCell ref="B222:B223"/>
    <mergeCell ref="C222:C223"/>
    <mergeCell ref="F222:F223"/>
    <mergeCell ref="B224:B225"/>
    <mergeCell ref="C224:C225"/>
    <mergeCell ref="F224:F225"/>
    <mergeCell ref="A224:A225"/>
    <mergeCell ref="A226:A227"/>
    <mergeCell ref="B226:B227"/>
    <mergeCell ref="C226:C227"/>
    <mergeCell ref="A228:A229"/>
    <mergeCell ref="B228:B229"/>
    <mergeCell ref="C228:C229"/>
    <mergeCell ref="E212:E213"/>
    <mergeCell ref="E214:E215"/>
    <mergeCell ref="E216:E217"/>
    <mergeCell ref="F216:F217"/>
    <mergeCell ref="E218:E219"/>
    <mergeCell ref="F218:F219"/>
    <mergeCell ref="A212:A213"/>
    <mergeCell ref="B212:B213"/>
    <mergeCell ref="C212:C213"/>
    <mergeCell ref="F212:F213"/>
    <mergeCell ref="B214:B215"/>
    <mergeCell ref="C214:C215"/>
    <mergeCell ref="F214:F215"/>
    <mergeCell ref="A220:A221"/>
    <mergeCell ref="B220:B221"/>
    <mergeCell ref="C220:C221"/>
    <mergeCell ref="E220:E221"/>
    <mergeCell ref="F220:F221"/>
    <mergeCell ref="A214:A215"/>
    <mergeCell ref="A216:A217"/>
    <mergeCell ref="B216:B217"/>
    <mergeCell ref="C216:C217"/>
    <mergeCell ref="A218:A219"/>
    <mergeCell ref="B218:B219"/>
    <mergeCell ref="C218:C219"/>
    <mergeCell ref="E222:E223"/>
    <mergeCell ref="E224:E225"/>
    <mergeCell ref="E226:E227"/>
    <mergeCell ref="F226:F227"/>
    <mergeCell ref="E228:E229"/>
    <mergeCell ref="F228:F229"/>
    <mergeCell ref="A230:A231"/>
    <mergeCell ref="B230:B231"/>
    <mergeCell ref="C230:C231"/>
    <mergeCell ref="E230:E231"/>
    <mergeCell ref="F230:F231"/>
    <mergeCell ref="A234:A235"/>
    <mergeCell ref="A236:A237"/>
    <mergeCell ref="B236:B237"/>
    <mergeCell ref="C236:C237"/>
    <mergeCell ref="E236:E237"/>
    <mergeCell ref="F236:F237"/>
  </mergeCells>
  <conditionalFormatting sqref="G7:DG7">
    <cfRule type="expression" dxfId="14" priority="1">
      <formula>AND(ISNUMBER($DL6),G$3+6&gt;=$DL6,G$3&lt;=$DM6,$DM6&gt;$DK6)</formula>
    </cfRule>
  </conditionalFormatting>
  <conditionalFormatting sqref="G7:DG7">
    <cfRule type="expression" dxfId="15" priority="2">
      <formula>AND(ISNUMBER($DL6),G$3+6&gt;=$DL6,G$3&lt;=$DM6,$DM6&lt;=$DK6)</formula>
    </cfRule>
  </conditionalFormatting>
  <conditionalFormatting sqref="G9:DG9">
    <cfRule type="expression" dxfId="14" priority="3">
      <formula>AND(ISNUMBER($DL8),G$3+6&gt;=$DL8,G$3&lt;=$DM8,$DM8&gt;$DK8)</formula>
    </cfRule>
  </conditionalFormatting>
  <conditionalFormatting sqref="G9:DG9">
    <cfRule type="expression" dxfId="15" priority="4">
      <formula>AND(ISNUMBER($DL8),G$3+6&gt;=$DL8,G$3&lt;=$DM8,$DM8&lt;=$DK8)</formula>
    </cfRule>
  </conditionalFormatting>
  <conditionalFormatting sqref="G11:DG11">
    <cfRule type="expression" dxfId="14" priority="5">
      <formula>AND(ISNUMBER($DL10),G$3+6&gt;=$DL10,G$3&lt;=$DM10,$DM10&gt;$DK10)</formula>
    </cfRule>
  </conditionalFormatting>
  <conditionalFormatting sqref="G11:DG11">
    <cfRule type="expression" dxfId="15" priority="6">
      <formula>AND(ISNUMBER($DL10),G$3+6&gt;=$DL10,G$3&lt;=$DM10,$DM10&lt;=$DK10)</formula>
    </cfRule>
  </conditionalFormatting>
  <conditionalFormatting sqref="G13:DG13">
    <cfRule type="expression" dxfId="14" priority="7">
      <formula>AND(ISNUMBER($DL12),G$3+6&gt;=$DL12,G$3&lt;=$DM12,$DM12&gt;$DK12)</formula>
    </cfRule>
  </conditionalFormatting>
  <conditionalFormatting sqref="G13:DG13">
    <cfRule type="expression" dxfId="15" priority="8">
      <formula>AND(ISNUMBER($DL12),G$3+6&gt;=$DL12,G$3&lt;=$DM12,$DM12&lt;=$DK12)</formula>
    </cfRule>
  </conditionalFormatting>
  <conditionalFormatting sqref="G15:DG15">
    <cfRule type="expression" dxfId="14" priority="9">
      <formula>AND(ISNUMBER($DL14),G$3+6&gt;=$DL14,G$3&lt;=$DM14,$DM14&gt;$DK14)</formula>
    </cfRule>
  </conditionalFormatting>
  <conditionalFormatting sqref="G15:DG15">
    <cfRule type="expression" dxfId="15" priority="10">
      <formula>AND(ISNUMBER($DL14),G$3+6&gt;=$DL14,G$3&lt;=$DM14,$DM14&lt;=$DK14)</formula>
    </cfRule>
  </conditionalFormatting>
  <conditionalFormatting sqref="G17:DG17">
    <cfRule type="expression" dxfId="14" priority="11">
      <formula>AND(ISNUMBER($DL16),G$3+6&gt;=$DL16,G$3&lt;=$DM16,$DM16&gt;$DK16)</formula>
    </cfRule>
  </conditionalFormatting>
  <conditionalFormatting sqref="G17:DG17">
    <cfRule type="expression" dxfId="15" priority="12">
      <formula>AND(ISNUMBER($DL16),G$3+6&gt;=$DL16,G$3&lt;=$DM16,$DM16&lt;=$DK16)</formula>
    </cfRule>
  </conditionalFormatting>
  <conditionalFormatting sqref="G19:DG19">
    <cfRule type="expression" dxfId="14" priority="13">
      <formula>AND(ISNUMBER($DL18),G$3+6&gt;=$DL18,G$3&lt;=$DM18,$DM18&gt;$DK18)</formula>
    </cfRule>
  </conditionalFormatting>
  <conditionalFormatting sqref="G19:DG19">
    <cfRule type="expression" dxfId="15" priority="14">
      <formula>AND(ISNUMBER($DL18),G$3+6&gt;=$DL18,G$3&lt;=$DM18,$DM18&lt;=$DK18)</formula>
    </cfRule>
  </conditionalFormatting>
  <conditionalFormatting sqref="G21:DG21">
    <cfRule type="expression" dxfId="14" priority="15">
      <formula>AND(ISNUMBER($DL20),G$3+6&gt;=$DL20,G$3&lt;=$DM20,$DM20&gt;$DK20)</formula>
    </cfRule>
  </conditionalFormatting>
  <conditionalFormatting sqref="G21:DG21">
    <cfRule type="expression" dxfId="15" priority="16">
      <formula>AND(ISNUMBER($DL20),G$3+6&gt;=$DL20,G$3&lt;=$DM20,$DM20&lt;=$DK20)</formula>
    </cfRule>
  </conditionalFormatting>
  <conditionalFormatting sqref="G23:DG23">
    <cfRule type="expression" dxfId="14" priority="17">
      <formula>AND(ISNUMBER($DL22),G$3+6&gt;=$DL22,G$3&lt;=$DM22,$DM22&gt;$DK22)</formula>
    </cfRule>
  </conditionalFormatting>
  <conditionalFormatting sqref="G23:DG23">
    <cfRule type="expression" dxfId="15" priority="18">
      <formula>AND(ISNUMBER($DL22),G$3+6&gt;=$DL22,G$3&lt;=$DM22,$DM22&lt;=$DK22)</formula>
    </cfRule>
  </conditionalFormatting>
  <conditionalFormatting sqref="G25:DG25">
    <cfRule type="expression" dxfId="14" priority="19">
      <formula>AND(ISNUMBER($DL24),G$3+6&gt;=$DL24,G$3&lt;=$DM24,$DM24&gt;$DK24)</formula>
    </cfRule>
  </conditionalFormatting>
  <conditionalFormatting sqref="G25:DG25">
    <cfRule type="expression" dxfId="15" priority="20">
      <formula>AND(ISNUMBER($DL24),G$3+6&gt;=$DL24,G$3&lt;=$DM24,$DM24&lt;=$DK24)</formula>
    </cfRule>
  </conditionalFormatting>
  <conditionalFormatting sqref="G27:DG27">
    <cfRule type="expression" dxfId="14" priority="21">
      <formula>AND(ISNUMBER($DL26),G$3+6&gt;=$DL26,G$3&lt;=$DM26,$DM26&gt;$DK26)</formula>
    </cfRule>
  </conditionalFormatting>
  <conditionalFormatting sqref="G27:DG27">
    <cfRule type="expression" dxfId="15" priority="22">
      <formula>AND(ISNUMBER($DL26),G$3+6&gt;=$DL26,G$3&lt;=$DM26,$DM26&lt;=$DK26)</formula>
    </cfRule>
  </conditionalFormatting>
  <conditionalFormatting sqref="G29:DG29">
    <cfRule type="expression" dxfId="14" priority="23">
      <formula>AND(ISNUMBER($DL28),G$3+6&gt;=$DL28,G$3&lt;=$DM28,$DM28&gt;$DK28)</formula>
    </cfRule>
  </conditionalFormatting>
  <conditionalFormatting sqref="G29:DG29">
    <cfRule type="expression" dxfId="15" priority="24">
      <formula>AND(ISNUMBER($DL28),G$3+6&gt;=$DL28,G$3&lt;=$DM28,$DM28&lt;=$DK28)</formula>
    </cfRule>
  </conditionalFormatting>
  <conditionalFormatting sqref="G31:DG31">
    <cfRule type="expression" dxfId="14" priority="25">
      <formula>AND(ISNUMBER($DL30),G$3+6&gt;=$DL30,G$3&lt;=$DM30,$DM30&gt;$DK30)</formula>
    </cfRule>
  </conditionalFormatting>
  <conditionalFormatting sqref="G31:DG31">
    <cfRule type="expression" dxfId="15" priority="26">
      <formula>AND(ISNUMBER($DL30),G$3+6&gt;=$DL30,G$3&lt;=$DM30,$DM30&lt;=$DK30)</formula>
    </cfRule>
  </conditionalFormatting>
  <conditionalFormatting sqref="G33:DG33">
    <cfRule type="expression" dxfId="14" priority="27">
      <formula>AND(ISNUMBER($DL32),G$3+6&gt;=$DL32,G$3&lt;=$DM32,$DM32&gt;$DK32)</formula>
    </cfRule>
  </conditionalFormatting>
  <conditionalFormatting sqref="G33:DG33">
    <cfRule type="expression" dxfId="15" priority="28">
      <formula>AND(ISNUMBER($DL32),G$3+6&gt;=$DL32,G$3&lt;=$DM32,$DM32&lt;=$DK32)</formula>
    </cfRule>
  </conditionalFormatting>
  <conditionalFormatting sqref="G35:DG35">
    <cfRule type="expression" dxfId="14" priority="29">
      <formula>AND(ISNUMBER($DL34),G$3+6&gt;=$DL34,G$3&lt;=$DM34,$DM34&gt;$DK34)</formula>
    </cfRule>
  </conditionalFormatting>
  <conditionalFormatting sqref="G35:DG35">
    <cfRule type="expression" dxfId="15" priority="30">
      <formula>AND(ISNUMBER($DL34),G$3+6&gt;=$DL34,G$3&lt;=$DM34,$DM34&lt;=$DK34)</formula>
    </cfRule>
  </conditionalFormatting>
  <conditionalFormatting sqref="G37:DG37">
    <cfRule type="expression" dxfId="14" priority="31">
      <formula>AND(ISNUMBER($DL36),G$3+6&gt;=$DL36,G$3&lt;=$DM36,$DM36&gt;$DK36)</formula>
    </cfRule>
  </conditionalFormatting>
  <conditionalFormatting sqref="G37:DG37">
    <cfRule type="expression" dxfId="15" priority="32">
      <formula>AND(ISNUMBER($DL36),G$3+6&gt;=$DL36,G$3&lt;=$DM36,$DM36&lt;=$DK36)</formula>
    </cfRule>
  </conditionalFormatting>
  <conditionalFormatting sqref="G39:DG39">
    <cfRule type="expression" dxfId="14" priority="33">
      <formula>AND(ISNUMBER($DL38),G$3+6&gt;=$DL38,G$3&lt;=$DM38,$DM38&gt;$DK38)</formula>
    </cfRule>
  </conditionalFormatting>
  <conditionalFormatting sqref="G39:DG39">
    <cfRule type="expression" dxfId="15" priority="34">
      <formula>AND(ISNUMBER($DL38),G$3+6&gt;=$DL38,G$3&lt;=$DM38,$DM38&lt;=$DK38)</formula>
    </cfRule>
  </conditionalFormatting>
  <conditionalFormatting sqref="G41:DG41">
    <cfRule type="expression" dxfId="14" priority="35">
      <formula>AND(ISNUMBER($DL40),G$3+6&gt;=$DL40,G$3&lt;=$DM40,$DM40&gt;$DK40)</formula>
    </cfRule>
  </conditionalFormatting>
  <conditionalFormatting sqref="G41:DG41">
    <cfRule type="expression" dxfId="15" priority="36">
      <formula>AND(ISNUMBER($DL40),G$3+6&gt;=$DL40,G$3&lt;=$DM40,$DM40&lt;=$DK40)</formula>
    </cfRule>
  </conditionalFormatting>
  <conditionalFormatting sqref="G43:DG43">
    <cfRule type="expression" dxfId="14" priority="37">
      <formula>AND(ISNUMBER($DL42),G$3+6&gt;=$DL42,G$3&lt;=$DM42,$DM42&gt;$DK42)</formula>
    </cfRule>
  </conditionalFormatting>
  <conditionalFormatting sqref="G43:DG43">
    <cfRule type="expression" dxfId="15" priority="38">
      <formula>AND(ISNUMBER($DL42),G$3+6&gt;=$DL42,G$3&lt;=$DM42,$DM42&lt;=$DK42)</formula>
    </cfRule>
  </conditionalFormatting>
  <conditionalFormatting sqref="G45:DG45">
    <cfRule type="expression" dxfId="14" priority="39">
      <formula>AND(ISNUMBER($DL44),G$3+6&gt;=$DL44,G$3&lt;=$DM44,$DM44&gt;$DK44)</formula>
    </cfRule>
  </conditionalFormatting>
  <conditionalFormatting sqref="G45:DG45">
    <cfRule type="expression" dxfId="15" priority="40">
      <formula>AND(ISNUMBER($DL44),G$3+6&gt;=$DL44,G$3&lt;=$DM44,$DM44&lt;=$DK44)</formula>
    </cfRule>
  </conditionalFormatting>
  <conditionalFormatting sqref="G47:DG47">
    <cfRule type="expression" dxfId="14" priority="41">
      <formula>AND(ISNUMBER($DL46),G$3+6&gt;=$DL46,G$3&lt;=$DM46,$DM46&gt;$DK46)</formula>
    </cfRule>
  </conditionalFormatting>
  <conditionalFormatting sqref="G47:DG47">
    <cfRule type="expression" dxfId="15" priority="42">
      <formula>AND(ISNUMBER($DL46),G$3+6&gt;=$DL46,G$3&lt;=$DM46,$DM46&lt;=$DK46)</formula>
    </cfRule>
  </conditionalFormatting>
  <conditionalFormatting sqref="G49:DG49">
    <cfRule type="expression" dxfId="14" priority="43">
      <formula>AND(ISNUMBER($DL48),G$3+6&gt;=$DL48,G$3&lt;=$DM48,$DM48&gt;$DK48)</formula>
    </cfRule>
  </conditionalFormatting>
  <conditionalFormatting sqref="G49:DG49">
    <cfRule type="expression" dxfId="15" priority="44">
      <formula>AND(ISNUMBER($DL48),G$3+6&gt;=$DL48,G$3&lt;=$DM48,$DM48&lt;=$DK48)</formula>
    </cfRule>
  </conditionalFormatting>
  <conditionalFormatting sqref="G51:DG51">
    <cfRule type="expression" dxfId="14" priority="45">
      <formula>AND(ISNUMBER($DL50),G$3+6&gt;=$DL50,G$3&lt;=$DM50,$DM50&gt;$DK50)</formula>
    </cfRule>
  </conditionalFormatting>
  <conditionalFormatting sqref="G51:DG51">
    <cfRule type="expression" dxfId="15" priority="46">
      <formula>AND(ISNUMBER($DL50),G$3+6&gt;=$DL50,G$3&lt;=$DM50,$DM50&lt;=$DK50)</formula>
    </cfRule>
  </conditionalFormatting>
  <conditionalFormatting sqref="G53:DG53">
    <cfRule type="expression" dxfId="14" priority="47">
      <formula>AND(ISNUMBER($DL52),G$3+6&gt;=$DL52,G$3&lt;=$DM52,$DM52&gt;$DK52)</formula>
    </cfRule>
  </conditionalFormatting>
  <conditionalFormatting sqref="G53:DG53">
    <cfRule type="expression" dxfId="15" priority="48">
      <formula>AND(ISNUMBER($DL52),G$3+6&gt;=$DL52,G$3&lt;=$DM52,$DM52&lt;=$DK52)</formula>
    </cfRule>
  </conditionalFormatting>
  <conditionalFormatting sqref="G55:DG55">
    <cfRule type="expression" dxfId="14" priority="49">
      <formula>AND(ISNUMBER($DL54),G$3+6&gt;=$DL54,G$3&lt;=$DM54,$DM54&gt;$DK54)</formula>
    </cfRule>
  </conditionalFormatting>
  <conditionalFormatting sqref="G55:DG55">
    <cfRule type="expression" dxfId="15" priority="50">
      <formula>AND(ISNUMBER($DL54),G$3+6&gt;=$DL54,G$3&lt;=$DM54,$DM54&lt;=$DK54)</formula>
    </cfRule>
  </conditionalFormatting>
  <conditionalFormatting sqref="G57:DG57">
    <cfRule type="expression" dxfId="14" priority="51">
      <formula>AND(ISNUMBER($DL56),G$3+6&gt;=$DL56,G$3&lt;=$DM56,$DM56&gt;$DK56)</formula>
    </cfRule>
  </conditionalFormatting>
  <conditionalFormatting sqref="G57:DG57">
    <cfRule type="expression" dxfId="15" priority="52">
      <formula>AND(ISNUMBER($DL56),G$3+6&gt;=$DL56,G$3&lt;=$DM56,$DM56&lt;=$DK56)</formula>
    </cfRule>
  </conditionalFormatting>
  <conditionalFormatting sqref="G59:DG59">
    <cfRule type="expression" dxfId="14" priority="53">
      <formula>AND(ISNUMBER($DL58),G$3+6&gt;=$DL58,G$3&lt;=$DM58,$DM58&gt;$DK58)</formula>
    </cfRule>
  </conditionalFormatting>
  <conditionalFormatting sqref="G59:DG59">
    <cfRule type="expression" dxfId="15" priority="54">
      <formula>AND(ISNUMBER($DL58),G$3+6&gt;=$DL58,G$3&lt;=$DM58,$DM58&lt;=$DK58)</formula>
    </cfRule>
  </conditionalFormatting>
  <conditionalFormatting sqref="G61:DG61">
    <cfRule type="expression" dxfId="14" priority="55">
      <formula>AND(ISNUMBER($DL60),G$3+6&gt;=$DL60,G$3&lt;=$DM60,$DM60&gt;$DK60)</formula>
    </cfRule>
  </conditionalFormatting>
  <conditionalFormatting sqref="G61:DG61">
    <cfRule type="expression" dxfId="15" priority="56">
      <formula>AND(ISNUMBER($DL60),G$3+6&gt;=$DL60,G$3&lt;=$DM60,$DM60&lt;=$DK60)</formula>
    </cfRule>
  </conditionalFormatting>
  <conditionalFormatting sqref="G63:DG63">
    <cfRule type="expression" dxfId="14" priority="57">
      <formula>AND(ISNUMBER($DL62),G$3+6&gt;=$DL62,G$3&lt;=$DM62,$DM62&gt;$DK62)</formula>
    </cfRule>
  </conditionalFormatting>
  <conditionalFormatting sqref="G63:DG63">
    <cfRule type="expression" dxfId="15" priority="58">
      <formula>AND(ISNUMBER($DL62),G$3+6&gt;=$DL62,G$3&lt;=$DM62,$DM62&lt;=$DK62)</formula>
    </cfRule>
  </conditionalFormatting>
  <conditionalFormatting sqref="G65:DG65">
    <cfRule type="expression" dxfId="14" priority="59">
      <formula>AND(ISNUMBER($DL64),G$3+6&gt;=$DL64,G$3&lt;=$DM64,$DM64&gt;$DK64)</formula>
    </cfRule>
  </conditionalFormatting>
  <conditionalFormatting sqref="G65:DG65">
    <cfRule type="expression" dxfId="15" priority="60">
      <formula>AND(ISNUMBER($DL64),G$3+6&gt;=$DL64,G$3&lt;=$DM64,$DM64&lt;=$DK64)</formula>
    </cfRule>
  </conditionalFormatting>
  <conditionalFormatting sqref="G67:DG67">
    <cfRule type="expression" dxfId="14" priority="61">
      <formula>AND(ISNUMBER($DL66),G$3+6&gt;=$DL66,G$3&lt;=$DM66,$DM66&gt;$DK66)</formula>
    </cfRule>
  </conditionalFormatting>
  <conditionalFormatting sqref="G67:DG67">
    <cfRule type="expression" dxfId="15" priority="62">
      <formula>AND(ISNUMBER($DL66),G$3+6&gt;=$DL66,G$3&lt;=$DM66,$DM66&lt;=$DK66)</formula>
    </cfRule>
  </conditionalFormatting>
  <conditionalFormatting sqref="G69:DG69">
    <cfRule type="expression" dxfId="14" priority="63">
      <formula>AND(ISNUMBER($DL68),G$3+6&gt;=$DL68,G$3&lt;=$DM68,$DM68&gt;$DK68)</formula>
    </cfRule>
  </conditionalFormatting>
  <conditionalFormatting sqref="G69:DG69">
    <cfRule type="expression" dxfId="15" priority="64">
      <formula>AND(ISNUMBER($DL68),G$3+6&gt;=$DL68,G$3&lt;=$DM68,$DM68&lt;=$DK68)</formula>
    </cfRule>
  </conditionalFormatting>
  <conditionalFormatting sqref="G71:DG71">
    <cfRule type="expression" dxfId="14" priority="65">
      <formula>AND(ISNUMBER($DL70),G$3+6&gt;=$DL70,G$3&lt;=$DM70,$DM70&gt;$DK70)</formula>
    </cfRule>
  </conditionalFormatting>
  <conditionalFormatting sqref="G71:DG71">
    <cfRule type="expression" dxfId="15" priority="66">
      <formula>AND(ISNUMBER($DL70),G$3+6&gt;=$DL70,G$3&lt;=$DM70,$DM70&lt;=$DK70)</formula>
    </cfRule>
  </conditionalFormatting>
  <conditionalFormatting sqref="G73:DG73">
    <cfRule type="expression" dxfId="14" priority="67">
      <formula>AND(ISNUMBER($DL72),G$3+6&gt;=$DL72,G$3&lt;=$DM72,$DM72&gt;$DK72)</formula>
    </cfRule>
  </conditionalFormatting>
  <conditionalFormatting sqref="G73:DG73">
    <cfRule type="expression" dxfId="15" priority="68">
      <formula>AND(ISNUMBER($DL72),G$3+6&gt;=$DL72,G$3&lt;=$DM72,$DM72&lt;=$DK72)</formula>
    </cfRule>
  </conditionalFormatting>
  <conditionalFormatting sqref="G75:DG75">
    <cfRule type="expression" dxfId="14" priority="69">
      <formula>AND(ISNUMBER($DL74),G$3+6&gt;=$DL74,G$3&lt;=$DM74,$DM74&gt;$DK74)</formula>
    </cfRule>
  </conditionalFormatting>
  <conditionalFormatting sqref="G75:DG75">
    <cfRule type="expression" dxfId="15" priority="70">
      <formula>AND(ISNUMBER($DL74),G$3+6&gt;=$DL74,G$3&lt;=$DM74,$DM74&lt;=$DK74)</formula>
    </cfRule>
  </conditionalFormatting>
  <conditionalFormatting sqref="G77:DG77">
    <cfRule type="expression" dxfId="14" priority="71">
      <formula>AND(ISNUMBER($DL76),G$3+6&gt;=$DL76,G$3&lt;=$DM76,$DM76&gt;$DK76)</formula>
    </cfRule>
  </conditionalFormatting>
  <conditionalFormatting sqref="G77:DG77">
    <cfRule type="expression" dxfId="15" priority="72">
      <formula>AND(ISNUMBER($DL76),G$3+6&gt;=$DL76,G$3&lt;=$DM76,$DM76&lt;=$DK76)</formula>
    </cfRule>
  </conditionalFormatting>
  <conditionalFormatting sqref="G79:DG79">
    <cfRule type="expression" dxfId="14" priority="73">
      <formula>AND(ISNUMBER($DL78),G$3+6&gt;=$DL78,G$3&lt;=$DM78,$DM78&gt;$DK78)</formula>
    </cfRule>
  </conditionalFormatting>
  <conditionalFormatting sqref="G79:DG79">
    <cfRule type="expression" dxfId="15" priority="74">
      <formula>AND(ISNUMBER($DL78),G$3+6&gt;=$DL78,G$3&lt;=$DM78,$DM78&lt;=$DK78)</formula>
    </cfRule>
  </conditionalFormatting>
  <conditionalFormatting sqref="G81:DG81">
    <cfRule type="expression" dxfId="14" priority="75">
      <formula>AND(ISNUMBER($DL80),G$3+6&gt;=$DL80,G$3&lt;=$DM80,$DM80&gt;$DK80)</formula>
    </cfRule>
  </conditionalFormatting>
  <conditionalFormatting sqref="G81:DG81">
    <cfRule type="expression" dxfId="15" priority="76">
      <formula>AND(ISNUMBER($DL80),G$3+6&gt;=$DL80,G$3&lt;=$DM80,$DM80&lt;=$DK80)</formula>
    </cfRule>
  </conditionalFormatting>
  <conditionalFormatting sqref="G83:DG83">
    <cfRule type="expression" dxfId="14" priority="77">
      <formula>AND(ISNUMBER($DL82),G$3+6&gt;=$DL82,G$3&lt;=$DM82,$DM82&gt;$DK82)</formula>
    </cfRule>
  </conditionalFormatting>
  <conditionalFormatting sqref="G83:DG83">
    <cfRule type="expression" dxfId="15" priority="78">
      <formula>AND(ISNUMBER($DL82),G$3+6&gt;=$DL82,G$3&lt;=$DM82,$DM82&lt;=$DK82)</formula>
    </cfRule>
  </conditionalFormatting>
  <conditionalFormatting sqref="G85:DG85">
    <cfRule type="expression" dxfId="14" priority="79">
      <formula>AND(ISNUMBER($DL84),G$3+6&gt;=$DL84,G$3&lt;=$DM84,$DM84&gt;$DK84)</formula>
    </cfRule>
  </conditionalFormatting>
  <conditionalFormatting sqref="G85:DG85">
    <cfRule type="expression" dxfId="15" priority="80">
      <formula>AND(ISNUMBER($DL84),G$3+6&gt;=$DL84,G$3&lt;=$DM84,$DM84&lt;=$DK84)</formula>
    </cfRule>
  </conditionalFormatting>
  <conditionalFormatting sqref="G87:DG87">
    <cfRule type="expression" dxfId="14" priority="81">
      <formula>AND(ISNUMBER($DL86),G$3+6&gt;=$DL86,G$3&lt;=$DM86,$DM86&gt;$DK86)</formula>
    </cfRule>
  </conditionalFormatting>
  <conditionalFormatting sqref="G87:DG87">
    <cfRule type="expression" dxfId="15" priority="82">
      <formula>AND(ISNUMBER($DL86),G$3+6&gt;=$DL86,G$3&lt;=$DM86,$DM86&lt;=$DK86)</formula>
    </cfRule>
  </conditionalFormatting>
  <conditionalFormatting sqref="G89:DG89">
    <cfRule type="expression" dxfId="14" priority="83">
      <formula>AND(ISNUMBER($DL88),G$3+6&gt;=$DL88,G$3&lt;=$DM88,$DM88&gt;$DK88)</formula>
    </cfRule>
  </conditionalFormatting>
  <conditionalFormatting sqref="G89:DG89">
    <cfRule type="expression" dxfId="15" priority="84">
      <formula>AND(ISNUMBER($DL88),G$3+6&gt;=$DL88,G$3&lt;=$DM88,$DM88&lt;=$DK88)</formula>
    </cfRule>
  </conditionalFormatting>
  <conditionalFormatting sqref="G91:DG91">
    <cfRule type="expression" dxfId="14" priority="85">
      <formula>AND(ISNUMBER($DL90),G$3+6&gt;=$DL90,G$3&lt;=$DM90,$DM90&gt;$DK90)</formula>
    </cfRule>
  </conditionalFormatting>
  <conditionalFormatting sqref="G91:DG91">
    <cfRule type="expression" dxfId="15" priority="86">
      <formula>AND(ISNUMBER($DL90),G$3+6&gt;=$DL90,G$3&lt;=$DM90,$DM90&lt;=$DK90)</formula>
    </cfRule>
  </conditionalFormatting>
  <conditionalFormatting sqref="G93:DG93">
    <cfRule type="expression" dxfId="14" priority="87">
      <formula>AND(ISNUMBER($DL92),G$3+6&gt;=$DL92,G$3&lt;=$DM92,$DM92&gt;$DK92)</formula>
    </cfRule>
  </conditionalFormatting>
  <conditionalFormatting sqref="G93:DG93">
    <cfRule type="expression" dxfId="15" priority="88">
      <formula>AND(ISNUMBER($DL92),G$3+6&gt;=$DL92,G$3&lt;=$DM92,$DM92&lt;=$DK92)</formula>
    </cfRule>
  </conditionalFormatting>
  <conditionalFormatting sqref="G95:DG95">
    <cfRule type="expression" dxfId="14" priority="89">
      <formula>AND(ISNUMBER($DL94),G$3+6&gt;=$DL94,G$3&lt;=$DM94,$DM94&gt;$DK94)</formula>
    </cfRule>
  </conditionalFormatting>
  <conditionalFormatting sqref="G95:DG95">
    <cfRule type="expression" dxfId="15" priority="90">
      <formula>AND(ISNUMBER($DL94),G$3+6&gt;=$DL94,G$3&lt;=$DM94,$DM94&lt;=$DK94)</formula>
    </cfRule>
  </conditionalFormatting>
  <conditionalFormatting sqref="G97:DG97">
    <cfRule type="expression" dxfId="14" priority="91">
      <formula>AND(ISNUMBER($DL96),G$3+6&gt;=$DL96,G$3&lt;=$DM96,$DM96&gt;$DK96)</formula>
    </cfRule>
  </conditionalFormatting>
  <conditionalFormatting sqref="G97:DG97">
    <cfRule type="expression" dxfId="15" priority="92">
      <formula>AND(ISNUMBER($DL96),G$3+6&gt;=$DL96,G$3&lt;=$DM96,$DM96&lt;=$DK96)</formula>
    </cfRule>
  </conditionalFormatting>
  <conditionalFormatting sqref="G99:DG99">
    <cfRule type="expression" dxfId="14" priority="93">
      <formula>AND(ISNUMBER($DL98),G$3+6&gt;=$DL98,G$3&lt;=$DM98,$DM98&gt;$DK98)</formula>
    </cfRule>
  </conditionalFormatting>
  <conditionalFormatting sqref="G99:DG99">
    <cfRule type="expression" dxfId="15" priority="94">
      <formula>AND(ISNUMBER($DL98),G$3+6&gt;=$DL98,G$3&lt;=$DM98,$DM98&lt;=$DK98)</formula>
    </cfRule>
  </conditionalFormatting>
  <conditionalFormatting sqref="G101:DG101">
    <cfRule type="expression" dxfId="14" priority="95">
      <formula>AND(ISNUMBER($DL100),G$3+6&gt;=$DL100,G$3&lt;=$DM100,$DM100&gt;$DK100)</formula>
    </cfRule>
  </conditionalFormatting>
  <conditionalFormatting sqref="G101:DG101">
    <cfRule type="expression" dxfId="15" priority="96">
      <formula>AND(ISNUMBER($DL100),G$3+6&gt;=$DL100,G$3&lt;=$DM100,$DM100&lt;=$DK100)</formula>
    </cfRule>
  </conditionalFormatting>
  <conditionalFormatting sqref="G103:DG103">
    <cfRule type="expression" dxfId="14" priority="97">
      <formula>AND(ISNUMBER($DL102),G$3+6&gt;=$DL102,G$3&lt;=$DM102,$DM102&gt;$DK102)</formula>
    </cfRule>
  </conditionalFormatting>
  <conditionalFormatting sqref="G103:DG103">
    <cfRule type="expression" dxfId="15" priority="98">
      <formula>AND(ISNUMBER($DL102),G$3+6&gt;=$DL102,G$3&lt;=$DM102,$DM102&lt;=$DK102)</formula>
    </cfRule>
  </conditionalFormatting>
  <conditionalFormatting sqref="G105:DG105">
    <cfRule type="expression" dxfId="14" priority="99">
      <formula>AND(ISNUMBER($DL104),G$3+6&gt;=$DL104,G$3&lt;=$DM104,$DM104&gt;$DK104)</formula>
    </cfRule>
  </conditionalFormatting>
  <conditionalFormatting sqref="G105:DG105">
    <cfRule type="expression" dxfId="15" priority="100">
      <formula>AND(ISNUMBER($DL104),G$3+6&gt;=$DL104,G$3&lt;=$DM104,$DM104&lt;=$DK104)</formula>
    </cfRule>
  </conditionalFormatting>
  <conditionalFormatting sqref="G107:DG107">
    <cfRule type="expression" dxfId="14" priority="101">
      <formula>AND(ISNUMBER($DL106),G$3+6&gt;=$DL106,G$3&lt;=$DM106,$DM106&gt;$DK106)</formula>
    </cfRule>
  </conditionalFormatting>
  <conditionalFormatting sqref="G107:DG107">
    <cfRule type="expression" dxfId="15" priority="102">
      <formula>AND(ISNUMBER($DL106),G$3+6&gt;=$DL106,G$3&lt;=$DM106,$DM106&lt;=$DK106)</formula>
    </cfRule>
  </conditionalFormatting>
  <conditionalFormatting sqref="G109:DG109">
    <cfRule type="expression" dxfId="14" priority="103">
      <formula>AND(ISNUMBER($DL108),G$3+6&gt;=$DL108,G$3&lt;=$DM108,$DM108&gt;$DK108)</formula>
    </cfRule>
  </conditionalFormatting>
  <conditionalFormatting sqref="G109:DG109">
    <cfRule type="expression" dxfId="15" priority="104">
      <formula>AND(ISNUMBER($DL108),G$3+6&gt;=$DL108,G$3&lt;=$DM108,$DM108&lt;=$DK108)</formula>
    </cfRule>
  </conditionalFormatting>
  <conditionalFormatting sqref="G111:DG111">
    <cfRule type="expression" dxfId="14" priority="105">
      <formula>AND(ISNUMBER($DL110),G$3+6&gt;=$DL110,G$3&lt;=$DM110,$DM110&gt;$DK110)</formula>
    </cfRule>
  </conditionalFormatting>
  <conditionalFormatting sqref="G111:DG111">
    <cfRule type="expression" dxfId="15" priority="106">
      <formula>AND(ISNUMBER($DL110),G$3+6&gt;=$DL110,G$3&lt;=$DM110,$DM110&lt;=$DK110)</formula>
    </cfRule>
  </conditionalFormatting>
  <conditionalFormatting sqref="G113:DG113">
    <cfRule type="expression" dxfId="14" priority="107">
      <formula>AND(ISNUMBER($DL112),G$3+6&gt;=$DL112,G$3&lt;=$DM112,$DM112&gt;$DK112)</formula>
    </cfRule>
  </conditionalFormatting>
  <conditionalFormatting sqref="G113:DG113">
    <cfRule type="expression" dxfId="15" priority="108">
      <formula>AND(ISNUMBER($DL112),G$3+6&gt;=$DL112,G$3&lt;=$DM112,$DM112&lt;=$DK112)</formula>
    </cfRule>
  </conditionalFormatting>
  <conditionalFormatting sqref="G115:DG115">
    <cfRule type="expression" dxfId="14" priority="109">
      <formula>AND(ISNUMBER($DL114),G$3+6&gt;=$DL114,G$3&lt;=$DM114,$DM114&gt;$DK114)</formula>
    </cfRule>
  </conditionalFormatting>
  <conditionalFormatting sqref="G115:DG115">
    <cfRule type="expression" dxfId="15" priority="110">
      <formula>AND(ISNUMBER($DL114),G$3+6&gt;=$DL114,G$3&lt;=$DM114,$DM114&lt;=$DK114)</formula>
    </cfRule>
  </conditionalFormatting>
  <conditionalFormatting sqref="G117:DG117">
    <cfRule type="expression" dxfId="14" priority="111">
      <formula>AND(ISNUMBER($DL116),G$3+6&gt;=$DL116,G$3&lt;=$DM116,$DM116&gt;$DK116)</formula>
    </cfRule>
  </conditionalFormatting>
  <conditionalFormatting sqref="G117:DG117">
    <cfRule type="expression" dxfId="15" priority="112">
      <formula>AND(ISNUMBER($DL116),G$3+6&gt;=$DL116,G$3&lt;=$DM116,$DM116&lt;=$DK116)</formula>
    </cfRule>
  </conditionalFormatting>
  <conditionalFormatting sqref="G119:DG119">
    <cfRule type="expression" dxfId="14" priority="113">
      <formula>AND(ISNUMBER($DL118),G$3+6&gt;=$DL118,G$3&lt;=$DM118,$DM118&gt;$DK118)</formula>
    </cfRule>
  </conditionalFormatting>
  <conditionalFormatting sqref="G119:DG119">
    <cfRule type="expression" dxfId="15" priority="114">
      <formula>AND(ISNUMBER($DL118),G$3+6&gt;=$DL118,G$3&lt;=$DM118,$DM118&lt;=$DK118)</formula>
    </cfRule>
  </conditionalFormatting>
  <conditionalFormatting sqref="G121:DG121">
    <cfRule type="expression" dxfId="14" priority="115">
      <formula>AND(ISNUMBER($DL120),G$3+6&gt;=$DL120,G$3&lt;=$DM120,$DM120&gt;$DK120)</formula>
    </cfRule>
  </conditionalFormatting>
  <conditionalFormatting sqref="G121:DG121">
    <cfRule type="expression" dxfId="15" priority="116">
      <formula>AND(ISNUMBER($DL120),G$3+6&gt;=$DL120,G$3&lt;=$DM120,$DM120&lt;=$DK120)</formula>
    </cfRule>
  </conditionalFormatting>
  <conditionalFormatting sqref="G123:DG123">
    <cfRule type="expression" dxfId="14" priority="117">
      <formula>AND(ISNUMBER($DL122),G$3+6&gt;=$DL122,G$3&lt;=$DM122,$DM122&gt;$DK122)</formula>
    </cfRule>
  </conditionalFormatting>
  <conditionalFormatting sqref="G123:DG123">
    <cfRule type="expression" dxfId="15" priority="118">
      <formula>AND(ISNUMBER($DL122),G$3+6&gt;=$DL122,G$3&lt;=$DM122,$DM122&lt;=$DK122)</formula>
    </cfRule>
  </conditionalFormatting>
  <conditionalFormatting sqref="G125:DG125">
    <cfRule type="expression" dxfId="14" priority="119">
      <formula>AND(ISNUMBER($DL124),G$3+6&gt;=$DL124,G$3&lt;=$DM124,$DM124&gt;$DK124)</formula>
    </cfRule>
  </conditionalFormatting>
  <conditionalFormatting sqref="G125:DG125">
    <cfRule type="expression" dxfId="15" priority="120">
      <formula>AND(ISNUMBER($DL124),G$3+6&gt;=$DL124,G$3&lt;=$DM124,$DM124&lt;=$DK124)</formula>
    </cfRule>
  </conditionalFormatting>
  <conditionalFormatting sqref="G127:DG127">
    <cfRule type="expression" dxfId="14" priority="121">
      <formula>AND(ISNUMBER($DL126),G$3+6&gt;=$DL126,G$3&lt;=$DM126,$DM126&gt;$DK126)</formula>
    </cfRule>
  </conditionalFormatting>
  <conditionalFormatting sqref="G127:DG127">
    <cfRule type="expression" dxfId="15" priority="122">
      <formula>AND(ISNUMBER($DL126),G$3+6&gt;=$DL126,G$3&lt;=$DM126,$DM126&lt;=$DK126)</formula>
    </cfRule>
  </conditionalFormatting>
  <conditionalFormatting sqref="G129:DG129">
    <cfRule type="expression" dxfId="14" priority="123">
      <formula>AND(ISNUMBER($DL128),G$3+6&gt;=$DL128,G$3&lt;=$DM128,$DM128&gt;$DK128)</formula>
    </cfRule>
  </conditionalFormatting>
  <conditionalFormatting sqref="G129:DG129">
    <cfRule type="expression" dxfId="15" priority="124">
      <formula>AND(ISNUMBER($DL128),G$3+6&gt;=$DL128,G$3&lt;=$DM128,$DM128&lt;=$DK128)</formula>
    </cfRule>
  </conditionalFormatting>
  <conditionalFormatting sqref="G131:DG131">
    <cfRule type="expression" dxfId="14" priority="125">
      <formula>AND(ISNUMBER($DL130),G$3+6&gt;=$DL130,G$3&lt;=$DM130,$DM130&gt;$DK130)</formula>
    </cfRule>
  </conditionalFormatting>
  <conditionalFormatting sqref="G131:DG131">
    <cfRule type="expression" dxfId="15" priority="126">
      <formula>AND(ISNUMBER($DL130),G$3+6&gt;=$DL130,G$3&lt;=$DM130,$DM130&lt;=$DK130)</formula>
    </cfRule>
  </conditionalFormatting>
  <conditionalFormatting sqref="G133:DG133">
    <cfRule type="expression" dxfId="14" priority="127">
      <formula>AND(ISNUMBER($DL132),G$3+6&gt;=$DL132,G$3&lt;=$DM132,$DM132&gt;$DK132)</formula>
    </cfRule>
  </conditionalFormatting>
  <conditionalFormatting sqref="G133:DG133">
    <cfRule type="expression" dxfId="15" priority="128">
      <formula>AND(ISNUMBER($DL132),G$3+6&gt;=$DL132,G$3&lt;=$DM132,$DM132&lt;=$DK132)</formula>
    </cfRule>
  </conditionalFormatting>
  <conditionalFormatting sqref="G135:DG135">
    <cfRule type="expression" dxfId="14" priority="129">
      <formula>AND(ISNUMBER($DL134),G$3+6&gt;=$DL134,G$3&lt;=$DM134,$DM134&gt;$DK134)</formula>
    </cfRule>
  </conditionalFormatting>
  <conditionalFormatting sqref="G135:DG135">
    <cfRule type="expression" dxfId="15" priority="130">
      <formula>AND(ISNUMBER($DL134),G$3+6&gt;=$DL134,G$3&lt;=$DM134,$DM134&lt;=$DK134)</formula>
    </cfRule>
  </conditionalFormatting>
  <conditionalFormatting sqref="G137:DG137">
    <cfRule type="expression" dxfId="14" priority="131">
      <formula>AND(ISNUMBER($DL136),G$3+6&gt;=$DL136,G$3&lt;=$DM136,$DM136&gt;$DK136)</formula>
    </cfRule>
  </conditionalFormatting>
  <conditionalFormatting sqref="G137:DG137">
    <cfRule type="expression" dxfId="15" priority="132">
      <formula>AND(ISNUMBER($DL136),G$3+6&gt;=$DL136,G$3&lt;=$DM136,$DM136&lt;=$DK136)</formula>
    </cfRule>
  </conditionalFormatting>
  <conditionalFormatting sqref="G139:DG139">
    <cfRule type="expression" dxfId="14" priority="133">
      <formula>AND(ISNUMBER($DL138),G$3+6&gt;=$DL138,G$3&lt;=$DM138,$DM138&gt;$DK138)</formula>
    </cfRule>
  </conditionalFormatting>
  <conditionalFormatting sqref="G139:DG139">
    <cfRule type="expression" dxfId="15" priority="134">
      <formula>AND(ISNUMBER($DL138),G$3+6&gt;=$DL138,G$3&lt;=$DM138,$DM138&lt;=$DK138)</formula>
    </cfRule>
  </conditionalFormatting>
  <conditionalFormatting sqref="G141:DG141">
    <cfRule type="expression" dxfId="14" priority="135">
      <formula>AND(ISNUMBER($DL140),G$3+6&gt;=$DL140,G$3&lt;=$DM140,$DM140&gt;$DK140)</formula>
    </cfRule>
  </conditionalFormatting>
  <conditionalFormatting sqref="G141:DG141">
    <cfRule type="expression" dxfId="15" priority="136">
      <formula>AND(ISNUMBER($DL140),G$3+6&gt;=$DL140,G$3&lt;=$DM140,$DM140&lt;=$DK140)</formula>
    </cfRule>
  </conditionalFormatting>
  <conditionalFormatting sqref="G143:DG143">
    <cfRule type="expression" dxfId="14" priority="137">
      <formula>AND(ISNUMBER($DL142),G$3+6&gt;=$DL142,G$3&lt;=$DM142,$DM142&gt;$DK142)</formula>
    </cfRule>
  </conditionalFormatting>
  <conditionalFormatting sqref="G143:DG143">
    <cfRule type="expression" dxfId="15" priority="138">
      <formula>AND(ISNUMBER($DL142),G$3+6&gt;=$DL142,G$3&lt;=$DM142,$DM142&lt;=$DK142)</formula>
    </cfRule>
  </conditionalFormatting>
  <conditionalFormatting sqref="G145:DG145">
    <cfRule type="expression" dxfId="14" priority="139">
      <formula>AND(ISNUMBER($DL144),G$3+6&gt;=$DL144,G$3&lt;=$DM144,$DM144&gt;$DK144)</formula>
    </cfRule>
  </conditionalFormatting>
  <conditionalFormatting sqref="G145:DG145">
    <cfRule type="expression" dxfId="15" priority="140">
      <formula>AND(ISNUMBER($DL144),G$3+6&gt;=$DL144,G$3&lt;=$DM144,$DM144&lt;=$DK144)</formula>
    </cfRule>
  </conditionalFormatting>
  <conditionalFormatting sqref="G147:DG147">
    <cfRule type="expression" dxfId="14" priority="141">
      <formula>AND(ISNUMBER($DL146),G$3+6&gt;=$DL146,G$3&lt;=$DM146,$DM146&gt;$DK146)</formula>
    </cfRule>
  </conditionalFormatting>
  <conditionalFormatting sqref="G147:DG147">
    <cfRule type="expression" dxfId="15" priority="142">
      <formula>AND(ISNUMBER($DL146),G$3+6&gt;=$DL146,G$3&lt;=$DM146,$DM146&lt;=$DK146)</formula>
    </cfRule>
  </conditionalFormatting>
  <conditionalFormatting sqref="G149:DG149">
    <cfRule type="expression" dxfId="14" priority="143">
      <formula>AND(ISNUMBER($DL148),G$3+6&gt;=$DL148,G$3&lt;=$DM148,$DM148&gt;$DK148)</formula>
    </cfRule>
  </conditionalFormatting>
  <conditionalFormatting sqref="G149:DG149">
    <cfRule type="expression" dxfId="15" priority="144">
      <formula>AND(ISNUMBER($DL148),G$3+6&gt;=$DL148,G$3&lt;=$DM148,$DM148&lt;=$DK148)</formula>
    </cfRule>
  </conditionalFormatting>
  <conditionalFormatting sqref="G151:DG151">
    <cfRule type="expression" dxfId="14" priority="145">
      <formula>AND(ISNUMBER($DL150),G$3+6&gt;=$DL150,G$3&lt;=$DM150,$DM150&gt;$DK150)</formula>
    </cfRule>
  </conditionalFormatting>
  <conditionalFormatting sqref="G151:DG151">
    <cfRule type="expression" dxfId="15" priority="146">
      <formula>AND(ISNUMBER($DL150),G$3+6&gt;=$DL150,G$3&lt;=$DM150,$DM150&lt;=$DK150)</formula>
    </cfRule>
  </conditionalFormatting>
  <conditionalFormatting sqref="G153:DG153">
    <cfRule type="expression" dxfId="14" priority="147">
      <formula>AND(ISNUMBER($DL152),G$3+6&gt;=$DL152,G$3&lt;=$DM152,$DM152&gt;$DK152)</formula>
    </cfRule>
  </conditionalFormatting>
  <conditionalFormatting sqref="G153:DG153">
    <cfRule type="expression" dxfId="15" priority="148">
      <formula>AND(ISNUMBER($DL152),G$3+6&gt;=$DL152,G$3&lt;=$DM152,$DM152&lt;=$DK152)</formula>
    </cfRule>
  </conditionalFormatting>
  <conditionalFormatting sqref="G155:DG155">
    <cfRule type="expression" dxfId="14" priority="149">
      <formula>AND(ISNUMBER($DL154),G$3+6&gt;=$DL154,G$3&lt;=$DM154,$DM154&gt;$DK154)</formula>
    </cfRule>
  </conditionalFormatting>
  <conditionalFormatting sqref="G155:DG155">
    <cfRule type="expression" dxfId="15" priority="150">
      <formula>AND(ISNUMBER($DL154),G$3+6&gt;=$DL154,G$3&lt;=$DM154,$DM154&lt;=$DK154)</formula>
    </cfRule>
  </conditionalFormatting>
  <conditionalFormatting sqref="G157:DG157">
    <cfRule type="expression" dxfId="14" priority="151">
      <formula>AND(ISNUMBER($DL156),G$3+6&gt;=$DL156,G$3&lt;=$DM156,$DM156&gt;$DK156)</formula>
    </cfRule>
  </conditionalFormatting>
  <conditionalFormatting sqref="G157:DG157">
    <cfRule type="expression" dxfId="15" priority="152">
      <formula>AND(ISNUMBER($DL156),G$3+6&gt;=$DL156,G$3&lt;=$DM156,$DM156&lt;=$DK156)</formula>
    </cfRule>
  </conditionalFormatting>
  <conditionalFormatting sqref="G159:DG159">
    <cfRule type="expression" dxfId="14" priority="153">
      <formula>AND(ISNUMBER($DL158),G$3+6&gt;=$DL158,G$3&lt;=$DM158,$DM158&gt;$DK158)</formula>
    </cfRule>
  </conditionalFormatting>
  <conditionalFormatting sqref="G159:DG159">
    <cfRule type="expression" dxfId="15" priority="154">
      <formula>AND(ISNUMBER($DL158),G$3+6&gt;=$DL158,G$3&lt;=$DM158,$DM158&lt;=$DK158)</formula>
    </cfRule>
  </conditionalFormatting>
  <conditionalFormatting sqref="G161:DG161">
    <cfRule type="expression" dxfId="14" priority="155">
      <formula>AND(ISNUMBER($DL160),G$3+6&gt;=$DL160,G$3&lt;=$DM160,$DM160&gt;$DK160)</formula>
    </cfRule>
  </conditionalFormatting>
  <conditionalFormatting sqref="G161:DG161">
    <cfRule type="expression" dxfId="15" priority="156">
      <formula>AND(ISNUMBER($DL160),G$3+6&gt;=$DL160,G$3&lt;=$DM160,$DM160&lt;=$DK160)</formula>
    </cfRule>
  </conditionalFormatting>
  <conditionalFormatting sqref="G163:DG163">
    <cfRule type="expression" dxfId="14" priority="157">
      <formula>AND(ISNUMBER($DL162),G$3+6&gt;=$DL162,G$3&lt;=$DM162,$DM162&gt;$DK162)</formula>
    </cfRule>
  </conditionalFormatting>
  <conditionalFormatting sqref="G163:DG163">
    <cfRule type="expression" dxfId="15" priority="158">
      <formula>AND(ISNUMBER($DL162),G$3+6&gt;=$DL162,G$3&lt;=$DM162,$DM162&lt;=$DK162)</formula>
    </cfRule>
  </conditionalFormatting>
  <conditionalFormatting sqref="G165:DG165">
    <cfRule type="expression" dxfId="14" priority="159">
      <formula>AND(ISNUMBER($DL164),G$3+6&gt;=$DL164,G$3&lt;=$DM164,$DM164&gt;$DK164)</formula>
    </cfRule>
  </conditionalFormatting>
  <conditionalFormatting sqref="G165:DG165">
    <cfRule type="expression" dxfId="15" priority="160">
      <formula>AND(ISNUMBER($DL164),G$3+6&gt;=$DL164,G$3&lt;=$DM164,$DM164&lt;=$DK164)</formula>
    </cfRule>
  </conditionalFormatting>
  <conditionalFormatting sqref="G167:DG167">
    <cfRule type="expression" dxfId="14" priority="161">
      <formula>AND(ISNUMBER($DL166),G$3+6&gt;=$DL166,G$3&lt;=$DM166,$DM166&gt;$DK166)</formula>
    </cfRule>
  </conditionalFormatting>
  <conditionalFormatting sqref="G167:DG167">
    <cfRule type="expression" dxfId="15" priority="162">
      <formula>AND(ISNUMBER($DL166),G$3+6&gt;=$DL166,G$3&lt;=$DM166,$DM166&lt;=$DK166)</formula>
    </cfRule>
  </conditionalFormatting>
  <conditionalFormatting sqref="G169:DG169">
    <cfRule type="expression" dxfId="14" priority="163">
      <formula>AND(ISNUMBER($DL168),G$3+6&gt;=$DL168,G$3&lt;=$DM168,$DM168&gt;$DK168)</formula>
    </cfRule>
  </conditionalFormatting>
  <conditionalFormatting sqref="G169:DG169">
    <cfRule type="expression" dxfId="15" priority="164">
      <formula>AND(ISNUMBER($DL168),G$3+6&gt;=$DL168,G$3&lt;=$DM168,$DM168&lt;=$DK168)</formula>
    </cfRule>
  </conditionalFormatting>
  <conditionalFormatting sqref="G171:DG171">
    <cfRule type="expression" dxfId="14" priority="165">
      <formula>AND(ISNUMBER($DL170),G$3+6&gt;=$DL170,G$3&lt;=$DM170,$DM170&gt;$DK170)</formula>
    </cfRule>
  </conditionalFormatting>
  <conditionalFormatting sqref="G171:DG171">
    <cfRule type="expression" dxfId="15" priority="166">
      <formula>AND(ISNUMBER($DL170),G$3+6&gt;=$DL170,G$3&lt;=$DM170,$DM170&lt;=$DK170)</formula>
    </cfRule>
  </conditionalFormatting>
  <conditionalFormatting sqref="G173:DG173">
    <cfRule type="expression" dxfId="14" priority="167">
      <formula>AND(ISNUMBER($DL172),G$3+6&gt;=$DL172,G$3&lt;=$DM172,$DM172&gt;$DK172)</formula>
    </cfRule>
  </conditionalFormatting>
  <conditionalFormatting sqref="G173:DG173">
    <cfRule type="expression" dxfId="15" priority="168">
      <formula>AND(ISNUMBER($DL172),G$3+6&gt;=$DL172,G$3&lt;=$DM172,$DM172&lt;=$DK172)</formula>
    </cfRule>
  </conditionalFormatting>
  <conditionalFormatting sqref="G175:DG175">
    <cfRule type="expression" dxfId="14" priority="169">
      <formula>AND(ISNUMBER($DL174),G$3+6&gt;=$DL174,G$3&lt;=$DM174,$DM174&gt;$DK174)</formula>
    </cfRule>
  </conditionalFormatting>
  <conditionalFormatting sqref="G175:DG175">
    <cfRule type="expression" dxfId="15" priority="170">
      <formula>AND(ISNUMBER($DL174),G$3+6&gt;=$DL174,G$3&lt;=$DM174,$DM174&lt;=$DK174)</formula>
    </cfRule>
  </conditionalFormatting>
  <conditionalFormatting sqref="G177:DG177">
    <cfRule type="expression" dxfId="14" priority="171">
      <formula>AND(ISNUMBER($DL176),G$3+6&gt;=$DL176,G$3&lt;=$DM176,$DM176&gt;$DK176)</formula>
    </cfRule>
  </conditionalFormatting>
  <conditionalFormatting sqref="G177:DG177">
    <cfRule type="expression" dxfId="15" priority="172">
      <formula>AND(ISNUMBER($DL176),G$3+6&gt;=$DL176,G$3&lt;=$DM176,$DM176&lt;=$DK176)</formula>
    </cfRule>
  </conditionalFormatting>
  <conditionalFormatting sqref="G179:DG179">
    <cfRule type="expression" dxfId="14" priority="173">
      <formula>AND(ISNUMBER($DL178),G$3+6&gt;=$DL178,G$3&lt;=$DM178,$DM178&gt;$DK178)</formula>
    </cfRule>
  </conditionalFormatting>
  <conditionalFormatting sqref="G179:DG179">
    <cfRule type="expression" dxfId="15" priority="174">
      <formula>AND(ISNUMBER($DL178),G$3+6&gt;=$DL178,G$3&lt;=$DM178,$DM178&lt;=$DK178)</formula>
    </cfRule>
  </conditionalFormatting>
  <conditionalFormatting sqref="G181:DG181">
    <cfRule type="expression" dxfId="14" priority="175">
      <formula>AND(ISNUMBER($DL180),G$3+6&gt;=$DL180,G$3&lt;=$DM180,$DM180&gt;$DK180)</formula>
    </cfRule>
  </conditionalFormatting>
  <conditionalFormatting sqref="G181:DG181">
    <cfRule type="expression" dxfId="15" priority="176">
      <formula>AND(ISNUMBER($DL180),G$3+6&gt;=$DL180,G$3&lt;=$DM180,$DM180&lt;=$DK180)</formula>
    </cfRule>
  </conditionalFormatting>
  <conditionalFormatting sqref="G183:DG183">
    <cfRule type="expression" dxfId="14" priority="177">
      <formula>AND(ISNUMBER($DL182),G$3+6&gt;=$DL182,G$3&lt;=$DM182,$DM182&gt;$DK182)</formula>
    </cfRule>
  </conditionalFormatting>
  <conditionalFormatting sqref="G183:DG183">
    <cfRule type="expression" dxfId="15" priority="178">
      <formula>AND(ISNUMBER($DL182),G$3+6&gt;=$DL182,G$3&lt;=$DM182,$DM182&lt;=$DK182)</formula>
    </cfRule>
  </conditionalFormatting>
  <conditionalFormatting sqref="G185:DG185">
    <cfRule type="expression" dxfId="14" priority="179">
      <formula>AND(ISNUMBER($DL184),G$3+6&gt;=$DL184,G$3&lt;=$DM184,$DM184&gt;$DK184)</formula>
    </cfRule>
  </conditionalFormatting>
  <conditionalFormatting sqref="G185:DG185">
    <cfRule type="expression" dxfId="15" priority="180">
      <formula>AND(ISNUMBER($DL184),G$3+6&gt;=$DL184,G$3&lt;=$DM184,$DM184&lt;=$DK184)</formula>
    </cfRule>
  </conditionalFormatting>
  <conditionalFormatting sqref="G187:DG187">
    <cfRule type="expression" dxfId="14" priority="181">
      <formula>AND(ISNUMBER($DL186),G$3+6&gt;=$DL186,G$3&lt;=$DM186,$DM186&gt;$DK186)</formula>
    </cfRule>
  </conditionalFormatting>
  <conditionalFormatting sqref="G187:DG187">
    <cfRule type="expression" dxfId="15" priority="182">
      <formula>AND(ISNUMBER($DL186),G$3+6&gt;=$DL186,G$3&lt;=$DM186,$DM186&lt;=$DK186)</formula>
    </cfRule>
  </conditionalFormatting>
  <conditionalFormatting sqref="G189:DG189">
    <cfRule type="expression" dxfId="14" priority="183">
      <formula>AND(ISNUMBER($DL188),G$3+6&gt;=$DL188,G$3&lt;=$DM188,$DM188&gt;$DK188)</formula>
    </cfRule>
  </conditionalFormatting>
  <conditionalFormatting sqref="G189:DG189">
    <cfRule type="expression" dxfId="15" priority="184">
      <formula>AND(ISNUMBER($DL188),G$3+6&gt;=$DL188,G$3&lt;=$DM188,$DM188&lt;=$DK188)</formula>
    </cfRule>
  </conditionalFormatting>
  <conditionalFormatting sqref="G191:DG191">
    <cfRule type="expression" dxfId="14" priority="185">
      <formula>AND(ISNUMBER($DL190),G$3+6&gt;=$DL190,G$3&lt;=$DM190,$DM190&gt;$DK190)</formula>
    </cfRule>
  </conditionalFormatting>
  <conditionalFormatting sqref="G191:DG191">
    <cfRule type="expression" dxfId="15" priority="186">
      <formula>AND(ISNUMBER($DL190),G$3+6&gt;=$DL190,G$3&lt;=$DM190,$DM190&lt;=$DK190)</formula>
    </cfRule>
  </conditionalFormatting>
  <conditionalFormatting sqref="G193:DG193">
    <cfRule type="expression" dxfId="14" priority="187">
      <formula>AND(ISNUMBER($DL192),G$3+6&gt;=$DL192,G$3&lt;=$DM192,$DM192&gt;$DK192)</formula>
    </cfRule>
  </conditionalFormatting>
  <conditionalFormatting sqref="G193:DG193">
    <cfRule type="expression" dxfId="15" priority="188">
      <formula>AND(ISNUMBER($DL192),G$3+6&gt;=$DL192,G$3&lt;=$DM192,$DM192&lt;=$DK192)</formula>
    </cfRule>
  </conditionalFormatting>
  <conditionalFormatting sqref="G195:DG195">
    <cfRule type="expression" dxfId="14" priority="189">
      <formula>AND(ISNUMBER($DL194),G$3+6&gt;=$DL194,G$3&lt;=$DM194,$DM194&gt;$DK194)</formula>
    </cfRule>
  </conditionalFormatting>
  <conditionalFormatting sqref="G195:DG195">
    <cfRule type="expression" dxfId="15" priority="190">
      <formula>AND(ISNUMBER($DL194),G$3+6&gt;=$DL194,G$3&lt;=$DM194,$DM194&lt;=$DK194)</formula>
    </cfRule>
  </conditionalFormatting>
  <conditionalFormatting sqref="G197:DG197">
    <cfRule type="expression" dxfId="14" priority="191">
      <formula>AND(ISNUMBER($DL196),G$3+6&gt;=$DL196,G$3&lt;=$DM196,$DM196&gt;$DK196)</formula>
    </cfRule>
  </conditionalFormatting>
  <conditionalFormatting sqref="G197:DG197">
    <cfRule type="expression" dxfId="15" priority="192">
      <formula>AND(ISNUMBER($DL196),G$3+6&gt;=$DL196,G$3&lt;=$DM196,$DM196&lt;=$DK196)</formula>
    </cfRule>
  </conditionalFormatting>
  <conditionalFormatting sqref="G199:DG199">
    <cfRule type="expression" dxfId="14" priority="193">
      <formula>AND(ISNUMBER($DL198),G$3+6&gt;=$DL198,G$3&lt;=$DM198,$DM198&gt;$DK198)</formula>
    </cfRule>
  </conditionalFormatting>
  <conditionalFormatting sqref="G199:DG199">
    <cfRule type="expression" dxfId="15" priority="194">
      <formula>AND(ISNUMBER($DL198),G$3+6&gt;=$DL198,G$3&lt;=$DM198,$DM198&lt;=$DK198)</formula>
    </cfRule>
  </conditionalFormatting>
  <conditionalFormatting sqref="G201:DG201">
    <cfRule type="expression" dxfId="14" priority="195">
      <formula>AND(ISNUMBER($DL200),G$3+6&gt;=$DL200,G$3&lt;=$DM200,$DM200&gt;$DK200)</formula>
    </cfRule>
  </conditionalFormatting>
  <conditionalFormatting sqref="G201:DG201">
    <cfRule type="expression" dxfId="15" priority="196">
      <formula>AND(ISNUMBER($DL200),G$3+6&gt;=$DL200,G$3&lt;=$DM200,$DM200&lt;=$DK200)</formula>
    </cfRule>
  </conditionalFormatting>
  <conditionalFormatting sqref="G203:DG203">
    <cfRule type="expression" dxfId="14" priority="197">
      <formula>AND(ISNUMBER($DL202),G$3+6&gt;=$DL202,G$3&lt;=$DM202,$DM202&gt;$DK202)</formula>
    </cfRule>
  </conditionalFormatting>
  <conditionalFormatting sqref="G203:DG203">
    <cfRule type="expression" dxfId="15" priority="198">
      <formula>AND(ISNUMBER($DL202),G$3+6&gt;=$DL202,G$3&lt;=$DM202,$DM202&lt;=$DK202)</formula>
    </cfRule>
  </conditionalFormatting>
  <conditionalFormatting sqref="G205:DG205">
    <cfRule type="expression" dxfId="14" priority="199">
      <formula>AND(ISNUMBER($DL204),G$3+6&gt;=$DL204,G$3&lt;=$DM204,$DM204&gt;$DK204)</formula>
    </cfRule>
  </conditionalFormatting>
  <conditionalFormatting sqref="G205:DG205">
    <cfRule type="expression" dxfId="15" priority="200">
      <formula>AND(ISNUMBER($DL204),G$3+6&gt;=$DL204,G$3&lt;=$DM204,$DM204&lt;=$DK204)</formula>
    </cfRule>
  </conditionalFormatting>
  <conditionalFormatting sqref="G207:DG207">
    <cfRule type="expression" dxfId="14" priority="201">
      <formula>AND(ISNUMBER($DL206),G$3+6&gt;=$DL206,G$3&lt;=$DM206,$DM206&gt;$DK206)</formula>
    </cfRule>
  </conditionalFormatting>
  <conditionalFormatting sqref="G207:DG207">
    <cfRule type="expression" dxfId="15" priority="202">
      <formula>AND(ISNUMBER($DL206),G$3+6&gt;=$DL206,G$3&lt;=$DM206,$DM206&lt;=$DK206)</formula>
    </cfRule>
  </conditionalFormatting>
  <conditionalFormatting sqref="G209:DG209">
    <cfRule type="expression" dxfId="14" priority="203">
      <formula>AND(ISNUMBER($DL208),G$3+6&gt;=$DL208,G$3&lt;=$DM208,$DM208&gt;$DK208)</formula>
    </cfRule>
  </conditionalFormatting>
  <conditionalFormatting sqref="G209:DG209">
    <cfRule type="expression" dxfId="15" priority="204">
      <formula>AND(ISNUMBER($DL208),G$3+6&gt;=$DL208,G$3&lt;=$DM208,$DM208&lt;=$DK208)</formula>
    </cfRule>
  </conditionalFormatting>
  <conditionalFormatting sqref="G211:DG211">
    <cfRule type="expression" dxfId="14" priority="205">
      <formula>AND(ISNUMBER($DL210),G$3+6&gt;=$DL210,G$3&lt;=$DM210,$DM210&gt;$DK210)</formula>
    </cfRule>
  </conditionalFormatting>
  <conditionalFormatting sqref="G211:DG211">
    <cfRule type="expression" dxfId="15" priority="206">
      <formula>AND(ISNUMBER($DL210),G$3+6&gt;=$DL210,G$3&lt;=$DM210,$DM210&lt;=$DK210)</formula>
    </cfRule>
  </conditionalFormatting>
  <conditionalFormatting sqref="G213:DG213">
    <cfRule type="expression" dxfId="14" priority="207">
      <formula>AND(ISNUMBER($DL212),G$3+6&gt;=$DL212,G$3&lt;=$DM212,$DM212&gt;$DK212)</formula>
    </cfRule>
  </conditionalFormatting>
  <conditionalFormatting sqref="G213:DG213">
    <cfRule type="expression" dxfId="15" priority="208">
      <formula>AND(ISNUMBER($DL212),G$3+6&gt;=$DL212,G$3&lt;=$DM212,$DM212&lt;=$DK212)</formula>
    </cfRule>
  </conditionalFormatting>
  <conditionalFormatting sqref="G215:DG215">
    <cfRule type="expression" dxfId="14" priority="209">
      <formula>AND(ISNUMBER($DL214),G$3+6&gt;=$DL214,G$3&lt;=$DM214,$DM214&gt;$DK214)</formula>
    </cfRule>
  </conditionalFormatting>
  <conditionalFormatting sqref="G215:DG215">
    <cfRule type="expression" dxfId="15" priority="210">
      <formula>AND(ISNUMBER($DL214),G$3+6&gt;=$DL214,G$3&lt;=$DM214,$DM214&lt;=$DK214)</formula>
    </cfRule>
  </conditionalFormatting>
  <conditionalFormatting sqref="G217:DG217">
    <cfRule type="expression" dxfId="14" priority="211">
      <formula>AND(ISNUMBER($DL216),G$3+6&gt;=$DL216,G$3&lt;=$DM216,$DM216&gt;$DK216)</formula>
    </cfRule>
  </conditionalFormatting>
  <conditionalFormatting sqref="G217:DG217">
    <cfRule type="expression" dxfId="15" priority="212">
      <formula>AND(ISNUMBER($DL216),G$3+6&gt;=$DL216,G$3&lt;=$DM216,$DM216&lt;=$DK216)</formula>
    </cfRule>
  </conditionalFormatting>
  <conditionalFormatting sqref="G219:DG219">
    <cfRule type="expression" dxfId="14" priority="213">
      <formula>AND(ISNUMBER($DL218),G$3+6&gt;=$DL218,G$3&lt;=$DM218,$DM218&gt;$DK218)</formula>
    </cfRule>
  </conditionalFormatting>
  <conditionalFormatting sqref="G219:DG219">
    <cfRule type="expression" dxfId="15" priority="214">
      <formula>AND(ISNUMBER($DL218),G$3+6&gt;=$DL218,G$3&lt;=$DM218,$DM218&lt;=$DK218)</formula>
    </cfRule>
  </conditionalFormatting>
  <conditionalFormatting sqref="G221:DG221">
    <cfRule type="expression" dxfId="14" priority="215">
      <formula>AND(ISNUMBER($DL220),G$3+6&gt;=$DL220,G$3&lt;=$DM220,$DM220&gt;$DK220)</formula>
    </cfRule>
  </conditionalFormatting>
  <conditionalFormatting sqref="G221:DG221">
    <cfRule type="expression" dxfId="15" priority="216">
      <formula>AND(ISNUMBER($DL220),G$3+6&gt;=$DL220,G$3&lt;=$DM220,$DM220&lt;=$DK220)</formula>
    </cfRule>
  </conditionalFormatting>
  <conditionalFormatting sqref="G223:DG223">
    <cfRule type="expression" dxfId="14" priority="217">
      <formula>AND(ISNUMBER($DL222),G$3+6&gt;=$DL222,G$3&lt;=$DM222,$DM222&gt;$DK222)</formula>
    </cfRule>
  </conditionalFormatting>
  <conditionalFormatting sqref="G223:DG223">
    <cfRule type="expression" dxfId="15" priority="218">
      <formula>AND(ISNUMBER($DL222),G$3+6&gt;=$DL222,G$3&lt;=$DM222,$DM222&lt;=$DK222)</formula>
    </cfRule>
  </conditionalFormatting>
  <conditionalFormatting sqref="G225:DG225">
    <cfRule type="expression" dxfId="14" priority="219">
      <formula>AND(ISNUMBER($DL224),G$3+6&gt;=$DL224,G$3&lt;=$DM224,$DM224&gt;$DK224)</formula>
    </cfRule>
  </conditionalFormatting>
  <conditionalFormatting sqref="G225:DG225">
    <cfRule type="expression" dxfId="15" priority="220">
      <formula>AND(ISNUMBER($DL224),G$3+6&gt;=$DL224,G$3&lt;=$DM224,$DM224&lt;=$DK224)</formula>
    </cfRule>
  </conditionalFormatting>
  <conditionalFormatting sqref="G227:DG227">
    <cfRule type="expression" dxfId="14" priority="221">
      <formula>AND(ISNUMBER($DL226),G$3+6&gt;=$DL226,G$3&lt;=$DM226,$DM226&gt;$DK226)</formula>
    </cfRule>
  </conditionalFormatting>
  <conditionalFormatting sqref="G227:DG227">
    <cfRule type="expression" dxfId="15" priority="222">
      <formula>AND(ISNUMBER($DL226),G$3+6&gt;=$DL226,G$3&lt;=$DM226,$DM226&lt;=$DK226)</formula>
    </cfRule>
  </conditionalFormatting>
  <conditionalFormatting sqref="G229:DG229">
    <cfRule type="expression" dxfId="14" priority="223">
      <formula>AND(ISNUMBER($DL228),G$3+6&gt;=$DL228,G$3&lt;=$DM228,$DM228&gt;$DK228)</formula>
    </cfRule>
  </conditionalFormatting>
  <conditionalFormatting sqref="G229:DG229">
    <cfRule type="expression" dxfId="15" priority="224">
      <formula>AND(ISNUMBER($DL228),G$3+6&gt;=$DL228,G$3&lt;=$DM228,$DM228&lt;=$DK228)</formula>
    </cfRule>
  </conditionalFormatting>
  <conditionalFormatting sqref="G231:DG231">
    <cfRule type="expression" dxfId="14" priority="225">
      <formula>AND(ISNUMBER($DL230),G$3+6&gt;=$DL230,G$3&lt;=$DM230,$DM230&gt;$DK230)</formula>
    </cfRule>
  </conditionalFormatting>
  <conditionalFormatting sqref="G231:DG231">
    <cfRule type="expression" dxfId="15" priority="226">
      <formula>AND(ISNUMBER($DL230),G$3+6&gt;=$DL230,G$3&lt;=$DM230,$DM230&lt;=$DK230)</formula>
    </cfRule>
  </conditionalFormatting>
  <conditionalFormatting sqref="G233:DG233">
    <cfRule type="expression" dxfId="14" priority="227">
      <formula>AND(ISNUMBER($DL232),G$3+6&gt;=$DL232,G$3&lt;=$DM232,$DM232&gt;$DK232)</formula>
    </cfRule>
  </conditionalFormatting>
  <conditionalFormatting sqref="G233:DG233">
    <cfRule type="expression" dxfId="15" priority="228">
      <formula>AND(ISNUMBER($DL232),G$3+6&gt;=$DL232,G$3&lt;=$DM232,$DM232&lt;=$DK232)</formula>
    </cfRule>
  </conditionalFormatting>
  <conditionalFormatting sqref="G235:DG235">
    <cfRule type="expression" dxfId="14" priority="229">
      <formula>AND(ISNUMBER($DL234),G$3+6&gt;=$DL234,G$3&lt;=$DM234,$DM234&gt;$DK234)</formula>
    </cfRule>
  </conditionalFormatting>
  <conditionalFormatting sqref="G235:DG235">
    <cfRule type="expression" dxfId="15" priority="230">
      <formula>AND(ISNUMBER($DL234),G$3+6&gt;=$DL234,G$3&lt;=$DM234,$DM234&lt;=$DK234)</formula>
    </cfRule>
  </conditionalFormatting>
  <conditionalFormatting sqref="G237:DG237">
    <cfRule type="expression" dxfId="14" priority="231">
      <formula>AND(ISNUMBER($DL236),G$3+6&gt;=$DL236,G$3&lt;=$DM236,$DM236&gt;$DK236)</formula>
    </cfRule>
  </conditionalFormatting>
  <conditionalFormatting sqref="G237:DG237">
    <cfRule type="expression" dxfId="15" priority="232">
      <formula>AND(ISNUMBER($DL236),G$3+6&gt;=$DL236,G$3&lt;=$DM236,$DM236&lt;=$DK236)</formula>
    </cfRule>
  </conditionalFormatting>
  <conditionalFormatting sqref="G239:DG239">
    <cfRule type="expression" dxfId="14" priority="233">
      <formula>AND(ISNUMBER($DL238),G$3+6&gt;=$DL238,G$3&lt;=$DM238,$DM238&gt;$DK238)</formula>
    </cfRule>
  </conditionalFormatting>
  <conditionalFormatting sqref="G239:DG239">
    <cfRule type="expression" dxfId="15" priority="234">
      <formula>AND(ISNUMBER($DL238),G$3+6&gt;=$DL238,G$3&lt;=$DM238,$DM238&lt;=$DK238)</formula>
    </cfRule>
  </conditionalFormatting>
  <conditionalFormatting sqref="G241:DG241">
    <cfRule type="expression" dxfId="14" priority="235">
      <formula>AND(ISNUMBER($DL240),G$3+6&gt;=$DL240,G$3&lt;=$DM240,$DM240&gt;$DK240)</formula>
    </cfRule>
  </conditionalFormatting>
  <conditionalFormatting sqref="G241:DG241">
    <cfRule type="expression" dxfId="15" priority="236">
      <formula>AND(ISNUMBER($DL240),G$3+6&gt;=$DL240,G$3&lt;=$DM240,$DM240&lt;=$DK240)</formula>
    </cfRule>
  </conditionalFormatting>
  <conditionalFormatting sqref="G243:DG243">
    <cfRule type="expression" dxfId="14" priority="237">
      <formula>AND(ISNUMBER($DL242),G$3+6&gt;=$DL242,G$3&lt;=$DM242,$DM242&gt;$DK242)</formula>
    </cfRule>
  </conditionalFormatting>
  <conditionalFormatting sqref="G243:DG243">
    <cfRule type="expression" dxfId="15" priority="238">
      <formula>AND(ISNUMBER($DL242),G$3+6&gt;=$DL242,G$3&lt;=$DM242,$DM242&lt;=$DK242)</formula>
    </cfRule>
  </conditionalFormatting>
  <conditionalFormatting sqref="G245:DG245">
    <cfRule type="expression" dxfId="14" priority="239">
      <formula>AND(ISNUMBER($DL244),G$3+6&gt;=$DL244,G$3&lt;=$DM244,$DM244&gt;$DK244)</formula>
    </cfRule>
  </conditionalFormatting>
  <conditionalFormatting sqref="G245:DG245">
    <cfRule type="expression" dxfId="15" priority="240">
      <formula>AND(ISNUMBER($DL244),G$3+6&gt;=$DL244,G$3&lt;=$DM244,$DM244&lt;=$DK244)</formula>
    </cfRule>
  </conditionalFormatting>
  <conditionalFormatting sqref="G247:DG247">
    <cfRule type="expression" dxfId="14" priority="241">
      <formula>AND(ISNUMBER($DL246),G$3+6&gt;=$DL246,G$3&lt;=$DM246,$DM246&gt;$DK246)</formula>
    </cfRule>
  </conditionalFormatting>
  <conditionalFormatting sqref="G247:DG247">
    <cfRule type="expression" dxfId="15" priority="242">
      <formula>AND(ISNUMBER($DL246),G$3+6&gt;=$DL246,G$3&lt;=$DM246,$DM246&lt;=$DK246)</formula>
    </cfRule>
  </conditionalFormatting>
  <conditionalFormatting sqref="G249:DG249">
    <cfRule type="expression" dxfId="14" priority="243">
      <formula>AND(ISNUMBER($DL248),G$3+6&gt;=$DL248,G$3&lt;=$DM248,$DM248&gt;$DK248)</formula>
    </cfRule>
  </conditionalFormatting>
  <conditionalFormatting sqref="G249:DG249">
    <cfRule type="expression" dxfId="15" priority="244">
      <formula>AND(ISNUMBER($DL248),G$3+6&gt;=$DL248,G$3&lt;=$DM248,$DM248&lt;=$DK248)</formula>
    </cfRule>
  </conditionalFormatting>
  <conditionalFormatting sqref="G251:DG251">
    <cfRule type="expression" dxfId="14" priority="245">
      <formula>AND(ISNUMBER($DL250),G$3+6&gt;=$DL250,G$3&lt;=$DM250,$DM250&gt;$DK250)</formula>
    </cfRule>
  </conditionalFormatting>
  <conditionalFormatting sqref="G251:DG251">
    <cfRule type="expression" dxfId="15" priority="246">
      <formula>AND(ISNUMBER($DL250),G$3+6&gt;=$DL250,G$3&lt;=$DM250,$DM250&lt;=$DK250)</formula>
    </cfRule>
  </conditionalFormatting>
  <conditionalFormatting sqref="G253:DG253">
    <cfRule type="expression" dxfId="14" priority="247">
      <formula>AND(ISNUMBER($DL252),G$3+6&gt;=$DL252,G$3&lt;=$DM252,$DM252&gt;$DK252)</formula>
    </cfRule>
  </conditionalFormatting>
  <conditionalFormatting sqref="G253:DG253">
    <cfRule type="expression" dxfId="15" priority="248">
      <formula>AND(ISNUMBER($DL252),G$3+6&gt;=$DL252,G$3&lt;=$DM252,$DM252&lt;=$DK252)</formula>
    </cfRule>
  </conditionalFormatting>
  <conditionalFormatting sqref="G255:DG255">
    <cfRule type="expression" dxfId="14" priority="249">
      <formula>AND(ISNUMBER($DL254),G$3+6&gt;=$DL254,G$3&lt;=$DM254,$DM254&gt;$DK254)</formula>
    </cfRule>
  </conditionalFormatting>
  <conditionalFormatting sqref="G255:DG255">
    <cfRule type="expression" dxfId="15" priority="250">
      <formula>AND(ISNUMBER($DL254),G$3+6&gt;=$DL254,G$3&lt;=$DM254,$DM254&lt;=$DK254)</formula>
    </cfRule>
  </conditionalFormatting>
  <conditionalFormatting sqref="G257:DG257">
    <cfRule type="expression" dxfId="14" priority="251">
      <formula>AND(ISNUMBER($DL256),G$3+6&gt;=$DL256,G$3&lt;=$DM256,$DM256&gt;$DK256)</formula>
    </cfRule>
  </conditionalFormatting>
  <conditionalFormatting sqref="G257:DG257">
    <cfRule type="expression" dxfId="15" priority="252">
      <formula>AND(ISNUMBER($DL256),G$3+6&gt;=$DL256,G$3&lt;=$DM256,$DM256&lt;=$DK256)</formula>
    </cfRule>
  </conditionalFormatting>
  <conditionalFormatting sqref="G259:DG259">
    <cfRule type="expression" dxfId="14" priority="253">
      <formula>AND(ISNUMBER($DL258),G$3+6&gt;=$DL258,G$3&lt;=$DM258,$DM258&gt;$DK258)</formula>
    </cfRule>
  </conditionalFormatting>
  <conditionalFormatting sqref="G259:DG259">
    <cfRule type="expression" dxfId="15" priority="254">
      <formula>AND(ISNUMBER($DL258),G$3+6&gt;=$DL258,G$3&lt;=$DM258,$DM258&lt;=$DK258)</formula>
    </cfRule>
  </conditionalFormatting>
  <conditionalFormatting sqref="G261:DG261">
    <cfRule type="expression" dxfId="14" priority="255">
      <formula>AND(ISNUMBER($DL260),G$3+6&gt;=$DL260,G$3&lt;=$DM260,$DM260&gt;$DK260)</formula>
    </cfRule>
  </conditionalFormatting>
  <conditionalFormatting sqref="G261:DG261">
    <cfRule type="expression" dxfId="15" priority="256">
      <formula>AND(ISNUMBER($DL260),G$3+6&gt;=$DL260,G$3&lt;=$DM260,$DM260&lt;=$DK260)</formula>
    </cfRule>
  </conditionalFormatting>
  <conditionalFormatting sqref="G263:DG263">
    <cfRule type="expression" dxfId="14" priority="257">
      <formula>AND(ISNUMBER($DL262),G$3+6&gt;=$DL262,G$3&lt;=$DM262,$DM262&gt;$DK262)</formula>
    </cfRule>
  </conditionalFormatting>
  <conditionalFormatting sqref="G263:DG263">
    <cfRule type="expression" dxfId="15" priority="258">
      <formula>AND(ISNUMBER($DL262),G$3+6&gt;=$DL262,G$3&lt;=$DM262,$DM262&lt;=$DK262)</formula>
    </cfRule>
  </conditionalFormatting>
  <conditionalFormatting sqref="G265:DG265">
    <cfRule type="expression" dxfId="14" priority="259">
      <formula>AND(ISNUMBER($DL264),G$3+6&gt;=$DL264,G$3&lt;=$DM264,$DM264&gt;$DK264)</formula>
    </cfRule>
  </conditionalFormatting>
  <conditionalFormatting sqref="G265:DG265">
    <cfRule type="expression" dxfId="15" priority="260">
      <formula>AND(ISNUMBER($DL264),G$3+6&gt;=$DL264,G$3&lt;=$DM264,$DM264&lt;=$DK264)</formula>
    </cfRule>
  </conditionalFormatting>
  <conditionalFormatting sqref="F6:F265">
    <cfRule type="expression" dxfId="16" priority="261">
      <formula>AND(F6&lt;&gt;"",ISNUMBER(SEARCH("delayed",F6)))</formula>
    </cfRule>
  </conditionalFormatting>
  <conditionalFormatting sqref="F6:F265">
    <cfRule type="expression" dxfId="17" priority="262">
      <formula>AND(F6&lt;&gt;"",ISERROR(SEARCH("delayed",F6)))</formula>
    </cfRule>
  </conditionalFormatting>
  <conditionalFormatting sqref="G6:DG6">
    <cfRule type="expression" dxfId="18" priority="263">
      <formula>AND(ISNUMBER($DJ6),G$3+6&gt;=$DJ6,G$3&lt;=$DK6)</formula>
    </cfRule>
  </conditionalFormatting>
  <conditionalFormatting sqref="G8:DG8">
    <cfRule type="expression" dxfId="18" priority="264">
      <formula>AND(ISNUMBER($DJ8),G$3+6&gt;=$DJ8,G$3&lt;=$DK8)</formula>
    </cfRule>
  </conditionalFormatting>
  <conditionalFormatting sqref="G10:DG10">
    <cfRule type="expression" dxfId="18" priority="265">
      <formula>AND(ISNUMBER($DJ10),G$3+6&gt;=$DJ10,G$3&lt;=$DK10)</formula>
    </cfRule>
  </conditionalFormatting>
  <conditionalFormatting sqref="G12:DG12">
    <cfRule type="expression" dxfId="18" priority="266">
      <formula>AND(ISNUMBER($DJ12),G$3+6&gt;=$DJ12,G$3&lt;=$DK12)</formula>
    </cfRule>
  </conditionalFormatting>
  <conditionalFormatting sqref="G14:DG14">
    <cfRule type="expression" dxfId="18" priority="267">
      <formula>AND(ISNUMBER($DJ14),G$3+6&gt;=$DJ14,G$3&lt;=$DK14)</formula>
    </cfRule>
  </conditionalFormatting>
  <conditionalFormatting sqref="G16:DG16">
    <cfRule type="expression" dxfId="18" priority="268">
      <formula>AND(ISNUMBER($DJ16),G$3+6&gt;=$DJ16,G$3&lt;=$DK16)</formula>
    </cfRule>
  </conditionalFormatting>
  <conditionalFormatting sqref="G18:DG18">
    <cfRule type="expression" dxfId="18" priority="269">
      <formula>AND(ISNUMBER($DJ18),G$3+6&gt;=$DJ18,G$3&lt;=$DK18)</formula>
    </cfRule>
  </conditionalFormatting>
  <conditionalFormatting sqref="G20:DG20">
    <cfRule type="expression" dxfId="18" priority="270">
      <formula>AND(ISNUMBER($DJ20),G$3+6&gt;=$DJ20,G$3&lt;=$DK20)</formula>
    </cfRule>
  </conditionalFormatting>
  <conditionalFormatting sqref="G22:DG22">
    <cfRule type="expression" dxfId="18" priority="271">
      <formula>AND(ISNUMBER($DJ22),G$3+6&gt;=$DJ22,G$3&lt;=$DK22)</formula>
    </cfRule>
  </conditionalFormatting>
  <conditionalFormatting sqref="G24:DG24">
    <cfRule type="expression" dxfId="18" priority="272">
      <formula>AND(ISNUMBER($DJ24),G$3+6&gt;=$DJ24,G$3&lt;=$DK24)</formula>
    </cfRule>
  </conditionalFormatting>
  <conditionalFormatting sqref="G26:DG26">
    <cfRule type="expression" dxfId="18" priority="273">
      <formula>AND(ISNUMBER($DJ26),G$3+6&gt;=$DJ26,G$3&lt;=$DK26)</formula>
    </cfRule>
  </conditionalFormatting>
  <conditionalFormatting sqref="G28:DG28">
    <cfRule type="expression" dxfId="18" priority="274">
      <formula>AND(ISNUMBER($DJ28),G$3+6&gt;=$DJ28,G$3&lt;=$DK28)</formula>
    </cfRule>
  </conditionalFormatting>
  <conditionalFormatting sqref="G30:DG30">
    <cfRule type="expression" dxfId="18" priority="275">
      <formula>AND(ISNUMBER($DJ30),G$3+6&gt;=$DJ30,G$3&lt;=$DK30)</formula>
    </cfRule>
  </conditionalFormatting>
  <conditionalFormatting sqref="G32:DG32">
    <cfRule type="expression" dxfId="18" priority="276">
      <formula>AND(ISNUMBER($DJ32),G$3+6&gt;=$DJ32,G$3&lt;=$DK32)</formula>
    </cfRule>
  </conditionalFormatting>
  <conditionalFormatting sqref="G34:DG34">
    <cfRule type="expression" dxfId="18" priority="277">
      <formula>AND(ISNUMBER($DJ34),G$3+6&gt;=$DJ34,G$3&lt;=$DK34)</formula>
    </cfRule>
  </conditionalFormatting>
  <conditionalFormatting sqref="G36:DG36">
    <cfRule type="expression" dxfId="18" priority="278">
      <formula>AND(ISNUMBER($DJ36),G$3+6&gt;=$DJ36,G$3&lt;=$DK36)</formula>
    </cfRule>
  </conditionalFormatting>
  <conditionalFormatting sqref="G38:DG38">
    <cfRule type="expression" dxfId="18" priority="279">
      <formula>AND(ISNUMBER($DJ38),G$3+6&gt;=$DJ38,G$3&lt;=$DK38)</formula>
    </cfRule>
  </conditionalFormatting>
  <conditionalFormatting sqref="G40:DG40">
    <cfRule type="expression" dxfId="18" priority="280">
      <formula>AND(ISNUMBER($DJ40),G$3+6&gt;=$DJ40,G$3&lt;=$DK40)</formula>
    </cfRule>
  </conditionalFormatting>
  <conditionalFormatting sqref="G42:DG42">
    <cfRule type="expression" dxfId="18" priority="281">
      <formula>AND(ISNUMBER($DJ42),G$3+6&gt;=$DJ42,G$3&lt;=$DK42)</formula>
    </cfRule>
  </conditionalFormatting>
  <conditionalFormatting sqref="G44:DG44">
    <cfRule type="expression" dxfId="18" priority="282">
      <formula>AND(ISNUMBER($DJ44),G$3+6&gt;=$DJ44,G$3&lt;=$DK44)</formula>
    </cfRule>
  </conditionalFormatting>
  <conditionalFormatting sqref="G46:DG46">
    <cfRule type="expression" dxfId="18" priority="283">
      <formula>AND(ISNUMBER($DJ46),G$3+6&gt;=$DJ46,G$3&lt;=$DK46)</formula>
    </cfRule>
  </conditionalFormatting>
  <conditionalFormatting sqref="G48:DG48">
    <cfRule type="expression" dxfId="18" priority="284">
      <formula>AND(ISNUMBER($DJ48),G$3+6&gt;=$DJ48,G$3&lt;=$DK48)</formula>
    </cfRule>
  </conditionalFormatting>
  <conditionalFormatting sqref="G50:DG50">
    <cfRule type="expression" dxfId="18" priority="285">
      <formula>AND(ISNUMBER($DJ50),G$3+6&gt;=$DJ50,G$3&lt;=$DK50)</formula>
    </cfRule>
  </conditionalFormatting>
  <conditionalFormatting sqref="G52:DG52">
    <cfRule type="expression" dxfId="18" priority="286">
      <formula>AND(ISNUMBER($DJ52),G$3+6&gt;=$DJ52,G$3&lt;=$DK52)</formula>
    </cfRule>
  </conditionalFormatting>
  <conditionalFormatting sqref="G54:DG54">
    <cfRule type="expression" dxfId="18" priority="287">
      <formula>AND(ISNUMBER($DJ54),G$3+6&gt;=$DJ54,G$3&lt;=$DK54)</formula>
    </cfRule>
  </conditionalFormatting>
  <conditionalFormatting sqref="G56:DG56">
    <cfRule type="expression" dxfId="18" priority="288">
      <formula>AND(ISNUMBER($DJ56),G$3+6&gt;=$DJ56,G$3&lt;=$DK56)</formula>
    </cfRule>
  </conditionalFormatting>
  <conditionalFormatting sqref="G58:DG58">
    <cfRule type="expression" dxfId="18" priority="289">
      <formula>AND(ISNUMBER($DJ58),G$3+6&gt;=$DJ58,G$3&lt;=$DK58)</formula>
    </cfRule>
  </conditionalFormatting>
  <conditionalFormatting sqref="G60:DG60">
    <cfRule type="expression" dxfId="18" priority="290">
      <formula>AND(ISNUMBER($DJ60),G$3+6&gt;=$DJ60,G$3&lt;=$DK60)</formula>
    </cfRule>
  </conditionalFormatting>
  <conditionalFormatting sqref="G62:DG62">
    <cfRule type="expression" dxfId="18" priority="291">
      <formula>AND(ISNUMBER($DJ62),G$3+6&gt;=$DJ62,G$3&lt;=$DK62)</formula>
    </cfRule>
  </conditionalFormatting>
  <conditionalFormatting sqref="G64:DG64">
    <cfRule type="expression" dxfId="18" priority="292">
      <formula>AND(ISNUMBER($DJ64),G$3+6&gt;=$DJ64,G$3&lt;=$DK64)</formula>
    </cfRule>
  </conditionalFormatting>
  <conditionalFormatting sqref="G66:DG66">
    <cfRule type="expression" dxfId="18" priority="293">
      <formula>AND(ISNUMBER($DJ66),G$3+6&gt;=$DJ66,G$3&lt;=$DK66)</formula>
    </cfRule>
  </conditionalFormatting>
  <conditionalFormatting sqref="G68:DG68">
    <cfRule type="expression" dxfId="18" priority="294">
      <formula>AND(ISNUMBER($DJ68),G$3+6&gt;=$DJ68,G$3&lt;=$DK68)</formula>
    </cfRule>
  </conditionalFormatting>
  <conditionalFormatting sqref="G70:DG70">
    <cfRule type="expression" dxfId="18" priority="295">
      <formula>AND(ISNUMBER($DJ70),G$3+6&gt;=$DJ70,G$3&lt;=$DK70)</formula>
    </cfRule>
  </conditionalFormatting>
  <conditionalFormatting sqref="G72:DG72">
    <cfRule type="expression" dxfId="18" priority="296">
      <formula>AND(ISNUMBER($DJ72),G$3+6&gt;=$DJ72,G$3&lt;=$DK72)</formula>
    </cfRule>
  </conditionalFormatting>
  <conditionalFormatting sqref="G74:DG74">
    <cfRule type="expression" dxfId="18" priority="297">
      <formula>AND(ISNUMBER($DJ74),G$3+6&gt;=$DJ74,G$3&lt;=$DK74)</formula>
    </cfRule>
  </conditionalFormatting>
  <conditionalFormatting sqref="G76:DG76">
    <cfRule type="expression" dxfId="18" priority="298">
      <formula>AND(ISNUMBER($DJ76),G$3+6&gt;=$DJ76,G$3&lt;=$DK76)</formula>
    </cfRule>
  </conditionalFormatting>
  <conditionalFormatting sqref="G78:DG78">
    <cfRule type="expression" dxfId="18" priority="299">
      <formula>AND(ISNUMBER($DJ78),G$3+6&gt;=$DJ78,G$3&lt;=$DK78)</formula>
    </cfRule>
  </conditionalFormatting>
  <conditionalFormatting sqref="G80:DG80">
    <cfRule type="expression" dxfId="18" priority="300">
      <formula>AND(ISNUMBER($DJ80),G$3+6&gt;=$DJ80,G$3&lt;=$DK80)</formula>
    </cfRule>
  </conditionalFormatting>
  <conditionalFormatting sqref="G82:DG82">
    <cfRule type="expression" dxfId="18" priority="301">
      <formula>AND(ISNUMBER($DJ82),G$3+6&gt;=$DJ82,G$3&lt;=$DK82)</formula>
    </cfRule>
  </conditionalFormatting>
  <conditionalFormatting sqref="G84:DG84">
    <cfRule type="expression" dxfId="18" priority="302">
      <formula>AND(ISNUMBER($DJ84),G$3+6&gt;=$DJ84,G$3&lt;=$DK84)</formula>
    </cfRule>
  </conditionalFormatting>
  <conditionalFormatting sqref="G86:DG86">
    <cfRule type="expression" dxfId="18" priority="303">
      <formula>AND(ISNUMBER($DJ86),G$3+6&gt;=$DJ86,G$3&lt;=$DK86)</formula>
    </cfRule>
  </conditionalFormatting>
  <conditionalFormatting sqref="G88:DG88">
    <cfRule type="expression" dxfId="18" priority="304">
      <formula>AND(ISNUMBER($DJ88),G$3+6&gt;=$DJ88,G$3&lt;=$DK88)</formula>
    </cfRule>
  </conditionalFormatting>
  <conditionalFormatting sqref="G90:DG90">
    <cfRule type="expression" dxfId="18" priority="305">
      <formula>AND(ISNUMBER($DJ90),G$3+6&gt;=$DJ90,G$3&lt;=$DK90)</formula>
    </cfRule>
  </conditionalFormatting>
  <conditionalFormatting sqref="G92:DG92">
    <cfRule type="expression" dxfId="18" priority="306">
      <formula>AND(ISNUMBER($DJ92),G$3+6&gt;=$DJ92,G$3&lt;=$DK92)</formula>
    </cfRule>
  </conditionalFormatting>
  <conditionalFormatting sqref="G94:DG94">
    <cfRule type="expression" dxfId="18" priority="307">
      <formula>AND(ISNUMBER($DJ94),G$3+6&gt;=$DJ94,G$3&lt;=$DK94)</formula>
    </cfRule>
  </conditionalFormatting>
  <conditionalFormatting sqref="G96:DG96">
    <cfRule type="expression" dxfId="18" priority="308">
      <formula>AND(ISNUMBER($DJ96),G$3+6&gt;=$DJ96,G$3&lt;=$DK96)</formula>
    </cfRule>
  </conditionalFormatting>
  <conditionalFormatting sqref="G98:DG98">
    <cfRule type="expression" dxfId="18" priority="309">
      <formula>AND(ISNUMBER($DJ98),G$3+6&gt;=$DJ98,G$3&lt;=$DK98)</formula>
    </cfRule>
  </conditionalFormatting>
  <conditionalFormatting sqref="G100:DG100">
    <cfRule type="expression" dxfId="18" priority="310">
      <formula>AND(ISNUMBER($DJ100),G$3+6&gt;=$DJ100,G$3&lt;=$DK100)</formula>
    </cfRule>
  </conditionalFormatting>
  <conditionalFormatting sqref="G102:DG102">
    <cfRule type="expression" dxfId="18" priority="311">
      <formula>AND(ISNUMBER($DJ102),G$3+6&gt;=$DJ102,G$3&lt;=$DK102)</formula>
    </cfRule>
  </conditionalFormatting>
  <conditionalFormatting sqref="G104:DG104">
    <cfRule type="expression" dxfId="18" priority="312">
      <formula>AND(ISNUMBER($DJ104),G$3+6&gt;=$DJ104,G$3&lt;=$DK104)</formula>
    </cfRule>
  </conditionalFormatting>
  <conditionalFormatting sqref="G106:DG106">
    <cfRule type="expression" dxfId="18" priority="313">
      <formula>AND(ISNUMBER($DJ106),G$3+6&gt;=$DJ106,G$3&lt;=$DK106)</formula>
    </cfRule>
  </conditionalFormatting>
  <conditionalFormatting sqref="G108:DG108">
    <cfRule type="expression" dxfId="18" priority="314">
      <formula>AND(ISNUMBER($DJ108),G$3+6&gt;=$DJ108,G$3&lt;=$DK108)</formula>
    </cfRule>
  </conditionalFormatting>
  <conditionalFormatting sqref="G110:DG110">
    <cfRule type="expression" dxfId="18" priority="315">
      <formula>AND(ISNUMBER($DJ110),G$3+6&gt;=$DJ110,G$3&lt;=$DK110)</formula>
    </cfRule>
  </conditionalFormatting>
  <conditionalFormatting sqref="G112:DG112">
    <cfRule type="expression" dxfId="18" priority="316">
      <formula>AND(ISNUMBER($DJ112),G$3+6&gt;=$DJ112,G$3&lt;=$DK112)</formula>
    </cfRule>
  </conditionalFormatting>
  <conditionalFormatting sqref="G114:DG114">
    <cfRule type="expression" dxfId="18" priority="317">
      <formula>AND(ISNUMBER($DJ114),G$3+6&gt;=$DJ114,G$3&lt;=$DK114)</formula>
    </cfRule>
  </conditionalFormatting>
  <conditionalFormatting sqref="G116:DG116">
    <cfRule type="expression" dxfId="18" priority="318">
      <formula>AND(ISNUMBER($DJ116),G$3+6&gt;=$DJ116,G$3&lt;=$DK116)</formula>
    </cfRule>
  </conditionalFormatting>
  <conditionalFormatting sqref="G118:DG118">
    <cfRule type="expression" dxfId="18" priority="319">
      <formula>AND(ISNUMBER($DJ118),G$3+6&gt;=$DJ118,G$3&lt;=$DK118)</formula>
    </cfRule>
  </conditionalFormatting>
  <conditionalFormatting sqref="G120:DG120">
    <cfRule type="expression" dxfId="18" priority="320">
      <formula>AND(ISNUMBER($DJ120),G$3+6&gt;=$DJ120,G$3&lt;=$DK120)</formula>
    </cfRule>
  </conditionalFormatting>
  <conditionalFormatting sqref="G122:DG122">
    <cfRule type="expression" dxfId="18" priority="321">
      <formula>AND(ISNUMBER($DJ122),G$3+6&gt;=$DJ122,G$3&lt;=$DK122)</formula>
    </cfRule>
  </conditionalFormatting>
  <conditionalFormatting sqref="G124:DG124">
    <cfRule type="expression" dxfId="18" priority="322">
      <formula>AND(ISNUMBER($DJ124),G$3+6&gt;=$DJ124,G$3&lt;=$DK124)</formula>
    </cfRule>
  </conditionalFormatting>
  <conditionalFormatting sqref="G126:DG126">
    <cfRule type="expression" dxfId="18" priority="323">
      <formula>AND(ISNUMBER($DJ126),G$3+6&gt;=$DJ126,G$3&lt;=$DK126)</formula>
    </cfRule>
  </conditionalFormatting>
  <conditionalFormatting sqref="G128:DG128">
    <cfRule type="expression" dxfId="18" priority="324">
      <formula>AND(ISNUMBER($DJ128),G$3+6&gt;=$DJ128,G$3&lt;=$DK128)</formula>
    </cfRule>
  </conditionalFormatting>
  <conditionalFormatting sqref="G130:DG130">
    <cfRule type="expression" dxfId="18" priority="325">
      <formula>AND(ISNUMBER($DJ130),G$3+6&gt;=$DJ130,G$3&lt;=$DK130)</formula>
    </cfRule>
  </conditionalFormatting>
  <conditionalFormatting sqref="G132:DG132">
    <cfRule type="expression" dxfId="18" priority="326">
      <formula>AND(ISNUMBER($DJ132),G$3+6&gt;=$DJ132,G$3&lt;=$DK132)</formula>
    </cfRule>
  </conditionalFormatting>
  <conditionalFormatting sqref="G134:DG134">
    <cfRule type="expression" dxfId="18" priority="327">
      <formula>AND(ISNUMBER($DJ134),G$3+6&gt;=$DJ134,G$3&lt;=$DK134)</formula>
    </cfRule>
  </conditionalFormatting>
  <conditionalFormatting sqref="G136:DG136">
    <cfRule type="expression" dxfId="18" priority="328">
      <formula>AND(ISNUMBER($DJ136),G$3+6&gt;=$DJ136,G$3&lt;=$DK136)</formula>
    </cfRule>
  </conditionalFormatting>
  <conditionalFormatting sqref="G138:DG138">
    <cfRule type="expression" dxfId="18" priority="329">
      <formula>AND(ISNUMBER($DJ138),G$3+6&gt;=$DJ138,G$3&lt;=$DK138)</formula>
    </cfRule>
  </conditionalFormatting>
  <conditionalFormatting sqref="G140:DG140">
    <cfRule type="expression" dxfId="18" priority="330">
      <formula>AND(ISNUMBER($DJ140),G$3+6&gt;=$DJ140,G$3&lt;=$DK140)</formula>
    </cfRule>
  </conditionalFormatting>
  <conditionalFormatting sqref="G142:DG142">
    <cfRule type="expression" dxfId="18" priority="331">
      <formula>AND(ISNUMBER($DJ142),G$3+6&gt;=$DJ142,G$3&lt;=$DK142)</formula>
    </cfRule>
  </conditionalFormatting>
  <conditionalFormatting sqref="G144:DG144">
    <cfRule type="expression" dxfId="18" priority="332">
      <formula>AND(ISNUMBER($DJ144),G$3+6&gt;=$DJ144,G$3&lt;=$DK144)</formula>
    </cfRule>
  </conditionalFormatting>
  <conditionalFormatting sqref="G146:DG146">
    <cfRule type="expression" dxfId="18" priority="333">
      <formula>AND(ISNUMBER($DJ146),G$3+6&gt;=$DJ146,G$3&lt;=$DK146)</formula>
    </cfRule>
  </conditionalFormatting>
  <conditionalFormatting sqref="G148:DG148">
    <cfRule type="expression" dxfId="18" priority="334">
      <formula>AND(ISNUMBER($DJ148),G$3+6&gt;=$DJ148,G$3&lt;=$DK148)</formula>
    </cfRule>
  </conditionalFormatting>
  <conditionalFormatting sqref="G150:DG150">
    <cfRule type="expression" dxfId="18" priority="335">
      <formula>AND(ISNUMBER($DJ150),G$3+6&gt;=$DJ150,G$3&lt;=$DK150)</formula>
    </cfRule>
  </conditionalFormatting>
  <conditionalFormatting sqref="G152:DG152">
    <cfRule type="expression" dxfId="18" priority="336">
      <formula>AND(ISNUMBER($DJ152),G$3+6&gt;=$DJ152,G$3&lt;=$DK152)</formula>
    </cfRule>
  </conditionalFormatting>
  <conditionalFormatting sqref="G154:DG154">
    <cfRule type="expression" dxfId="18" priority="337">
      <formula>AND(ISNUMBER($DJ154),G$3+6&gt;=$DJ154,G$3&lt;=$DK154)</formula>
    </cfRule>
  </conditionalFormatting>
  <conditionalFormatting sqref="G156:DG156">
    <cfRule type="expression" dxfId="18" priority="338">
      <formula>AND(ISNUMBER($DJ156),G$3+6&gt;=$DJ156,G$3&lt;=$DK156)</formula>
    </cfRule>
  </conditionalFormatting>
  <conditionalFormatting sqref="G158:DG158">
    <cfRule type="expression" dxfId="18" priority="339">
      <formula>AND(ISNUMBER($DJ158),G$3+6&gt;=$DJ158,G$3&lt;=$DK158)</formula>
    </cfRule>
  </conditionalFormatting>
  <conditionalFormatting sqref="G160:DG160">
    <cfRule type="expression" dxfId="18" priority="340">
      <formula>AND(ISNUMBER($DJ160),G$3+6&gt;=$DJ160,G$3&lt;=$DK160)</formula>
    </cfRule>
  </conditionalFormatting>
  <conditionalFormatting sqref="G162:DG162">
    <cfRule type="expression" dxfId="18" priority="341">
      <formula>AND(ISNUMBER($DJ162),G$3+6&gt;=$DJ162,G$3&lt;=$DK162)</formula>
    </cfRule>
  </conditionalFormatting>
  <conditionalFormatting sqref="G164:DG164">
    <cfRule type="expression" dxfId="18" priority="342">
      <formula>AND(ISNUMBER($DJ164),G$3+6&gt;=$DJ164,G$3&lt;=$DK164)</formula>
    </cfRule>
  </conditionalFormatting>
  <conditionalFormatting sqref="G166:DG166">
    <cfRule type="expression" dxfId="18" priority="343">
      <formula>AND(ISNUMBER($DJ166),G$3+6&gt;=$DJ166,G$3&lt;=$DK166)</formula>
    </cfRule>
  </conditionalFormatting>
  <conditionalFormatting sqref="G168:DG168">
    <cfRule type="expression" dxfId="18" priority="344">
      <formula>AND(ISNUMBER($DJ168),G$3+6&gt;=$DJ168,G$3&lt;=$DK168)</formula>
    </cfRule>
  </conditionalFormatting>
  <conditionalFormatting sqref="G170:DG170">
    <cfRule type="expression" dxfId="18" priority="345">
      <formula>AND(ISNUMBER($DJ170),G$3+6&gt;=$DJ170,G$3&lt;=$DK170)</formula>
    </cfRule>
  </conditionalFormatting>
  <conditionalFormatting sqref="G172:DG172">
    <cfRule type="expression" dxfId="18" priority="346">
      <formula>AND(ISNUMBER($DJ172),G$3+6&gt;=$DJ172,G$3&lt;=$DK172)</formula>
    </cfRule>
  </conditionalFormatting>
  <conditionalFormatting sqref="G174:DG174">
    <cfRule type="expression" dxfId="18" priority="347">
      <formula>AND(ISNUMBER($DJ174),G$3+6&gt;=$DJ174,G$3&lt;=$DK174)</formula>
    </cfRule>
  </conditionalFormatting>
  <conditionalFormatting sqref="G176:DG176">
    <cfRule type="expression" dxfId="18" priority="348">
      <formula>AND(ISNUMBER($DJ176),G$3+6&gt;=$DJ176,G$3&lt;=$DK176)</formula>
    </cfRule>
  </conditionalFormatting>
  <conditionalFormatting sqref="G178:DG178">
    <cfRule type="expression" dxfId="18" priority="349">
      <formula>AND(ISNUMBER($DJ178),G$3+6&gt;=$DJ178,G$3&lt;=$DK178)</formula>
    </cfRule>
  </conditionalFormatting>
  <conditionalFormatting sqref="G180:DG180">
    <cfRule type="expression" dxfId="18" priority="350">
      <formula>AND(ISNUMBER($DJ180),G$3+6&gt;=$DJ180,G$3&lt;=$DK180)</formula>
    </cfRule>
  </conditionalFormatting>
  <conditionalFormatting sqref="G182:DG182">
    <cfRule type="expression" dxfId="18" priority="351">
      <formula>AND(ISNUMBER($DJ182),G$3+6&gt;=$DJ182,G$3&lt;=$DK182)</formula>
    </cfRule>
  </conditionalFormatting>
  <conditionalFormatting sqref="G184:DG184">
    <cfRule type="expression" dxfId="18" priority="352">
      <formula>AND(ISNUMBER($DJ184),G$3+6&gt;=$DJ184,G$3&lt;=$DK184)</formula>
    </cfRule>
  </conditionalFormatting>
  <conditionalFormatting sqref="G186:DG186">
    <cfRule type="expression" dxfId="18" priority="353">
      <formula>AND(ISNUMBER($DJ186),G$3+6&gt;=$DJ186,G$3&lt;=$DK186)</formula>
    </cfRule>
  </conditionalFormatting>
  <conditionalFormatting sqref="G188:DG188">
    <cfRule type="expression" dxfId="18" priority="354">
      <formula>AND(ISNUMBER($DJ188),G$3+6&gt;=$DJ188,G$3&lt;=$DK188)</formula>
    </cfRule>
  </conditionalFormatting>
  <conditionalFormatting sqref="G190:DG190">
    <cfRule type="expression" dxfId="18" priority="355">
      <formula>AND(ISNUMBER($DJ190),G$3+6&gt;=$DJ190,G$3&lt;=$DK190)</formula>
    </cfRule>
  </conditionalFormatting>
  <conditionalFormatting sqref="G192:DG192">
    <cfRule type="expression" dxfId="18" priority="356">
      <formula>AND(ISNUMBER($DJ192),G$3+6&gt;=$DJ192,G$3&lt;=$DK192)</formula>
    </cfRule>
  </conditionalFormatting>
  <conditionalFormatting sqref="G194:DG194">
    <cfRule type="expression" dxfId="18" priority="357">
      <formula>AND(ISNUMBER($DJ194),G$3+6&gt;=$DJ194,G$3&lt;=$DK194)</formula>
    </cfRule>
  </conditionalFormatting>
  <conditionalFormatting sqref="G196:DG196">
    <cfRule type="expression" dxfId="18" priority="358">
      <formula>AND(ISNUMBER($DJ196),G$3+6&gt;=$DJ196,G$3&lt;=$DK196)</formula>
    </cfRule>
  </conditionalFormatting>
  <conditionalFormatting sqref="G198:DG198">
    <cfRule type="expression" dxfId="18" priority="359">
      <formula>AND(ISNUMBER($DJ198),G$3+6&gt;=$DJ198,G$3&lt;=$DK198)</formula>
    </cfRule>
  </conditionalFormatting>
  <conditionalFormatting sqref="G200:DG200">
    <cfRule type="expression" dxfId="18" priority="360">
      <formula>AND(ISNUMBER($DJ200),G$3+6&gt;=$DJ200,G$3&lt;=$DK200)</formula>
    </cfRule>
  </conditionalFormatting>
  <conditionalFormatting sqref="G202:DG202">
    <cfRule type="expression" dxfId="18" priority="361">
      <formula>AND(ISNUMBER($DJ202),G$3+6&gt;=$DJ202,G$3&lt;=$DK202)</formula>
    </cfRule>
  </conditionalFormatting>
  <conditionalFormatting sqref="G204:DG204">
    <cfRule type="expression" dxfId="18" priority="362">
      <formula>AND(ISNUMBER($DJ204),G$3+6&gt;=$DJ204,G$3&lt;=$DK204)</formula>
    </cfRule>
  </conditionalFormatting>
  <conditionalFormatting sqref="G206:DG206">
    <cfRule type="expression" dxfId="18" priority="363">
      <formula>AND(ISNUMBER($DJ206),G$3+6&gt;=$DJ206,G$3&lt;=$DK206)</formula>
    </cfRule>
  </conditionalFormatting>
  <conditionalFormatting sqref="G208:DG208">
    <cfRule type="expression" dxfId="18" priority="364">
      <formula>AND(ISNUMBER($DJ208),G$3+6&gt;=$DJ208,G$3&lt;=$DK208)</formula>
    </cfRule>
  </conditionalFormatting>
  <conditionalFormatting sqref="G210:DG210">
    <cfRule type="expression" dxfId="18" priority="365">
      <formula>AND(ISNUMBER($DJ210),G$3+6&gt;=$DJ210,G$3&lt;=$DK210)</formula>
    </cfRule>
  </conditionalFormatting>
  <conditionalFormatting sqref="G212:DG212">
    <cfRule type="expression" dxfId="18" priority="366">
      <formula>AND(ISNUMBER($DJ212),G$3+6&gt;=$DJ212,G$3&lt;=$DK212)</formula>
    </cfRule>
  </conditionalFormatting>
  <conditionalFormatting sqref="G214:DG214">
    <cfRule type="expression" dxfId="18" priority="367">
      <formula>AND(ISNUMBER($DJ214),G$3+6&gt;=$DJ214,G$3&lt;=$DK214)</formula>
    </cfRule>
  </conditionalFormatting>
  <conditionalFormatting sqref="G216:DG216">
    <cfRule type="expression" dxfId="18" priority="368">
      <formula>AND(ISNUMBER($DJ216),G$3+6&gt;=$DJ216,G$3&lt;=$DK216)</formula>
    </cfRule>
  </conditionalFormatting>
  <conditionalFormatting sqref="G218:DG218">
    <cfRule type="expression" dxfId="18" priority="369">
      <formula>AND(ISNUMBER($DJ218),G$3+6&gt;=$DJ218,G$3&lt;=$DK218)</formula>
    </cfRule>
  </conditionalFormatting>
  <conditionalFormatting sqref="G220:DG220">
    <cfRule type="expression" dxfId="18" priority="370">
      <formula>AND(ISNUMBER($DJ220),G$3+6&gt;=$DJ220,G$3&lt;=$DK220)</formula>
    </cfRule>
  </conditionalFormatting>
  <conditionalFormatting sqref="G222:DG222">
    <cfRule type="expression" dxfId="18" priority="371">
      <formula>AND(ISNUMBER($DJ222),G$3+6&gt;=$DJ222,G$3&lt;=$DK222)</formula>
    </cfRule>
  </conditionalFormatting>
  <conditionalFormatting sqref="G224:DG224">
    <cfRule type="expression" dxfId="18" priority="372">
      <formula>AND(ISNUMBER($DJ224),G$3+6&gt;=$DJ224,G$3&lt;=$DK224)</formula>
    </cfRule>
  </conditionalFormatting>
  <conditionalFormatting sqref="G226:DG226">
    <cfRule type="expression" dxfId="18" priority="373">
      <formula>AND(ISNUMBER($DJ226),G$3+6&gt;=$DJ226,G$3&lt;=$DK226)</formula>
    </cfRule>
  </conditionalFormatting>
  <conditionalFormatting sqref="G228:DG228">
    <cfRule type="expression" dxfId="18" priority="374">
      <formula>AND(ISNUMBER($DJ228),G$3+6&gt;=$DJ228,G$3&lt;=$DK228)</formula>
    </cfRule>
  </conditionalFormatting>
  <conditionalFormatting sqref="G230:DG230">
    <cfRule type="expression" dxfId="18" priority="375">
      <formula>AND(ISNUMBER($DJ230),G$3+6&gt;=$DJ230,G$3&lt;=$DK230)</formula>
    </cfRule>
  </conditionalFormatting>
  <conditionalFormatting sqref="G232:DG232">
    <cfRule type="expression" dxfId="18" priority="376">
      <formula>AND(ISNUMBER($DJ232),G$3+6&gt;=$DJ232,G$3&lt;=$DK232)</formula>
    </cfRule>
  </conditionalFormatting>
  <conditionalFormatting sqref="G234:DG234">
    <cfRule type="expression" dxfId="18" priority="377">
      <formula>AND(ISNUMBER($DJ234),G$3+6&gt;=$DJ234,G$3&lt;=$DK234)</formula>
    </cfRule>
  </conditionalFormatting>
  <conditionalFormatting sqref="G236:DG236">
    <cfRule type="expression" dxfId="18" priority="378">
      <formula>AND(ISNUMBER($DJ236),G$3+6&gt;=$DJ236,G$3&lt;=$DK236)</formula>
    </cfRule>
  </conditionalFormatting>
  <conditionalFormatting sqref="G238:DG238">
    <cfRule type="expression" dxfId="18" priority="379">
      <formula>AND(ISNUMBER($DJ238),G$3+6&gt;=$DJ238,G$3&lt;=$DK238)</formula>
    </cfRule>
  </conditionalFormatting>
  <conditionalFormatting sqref="G240:DG240">
    <cfRule type="expression" dxfId="18" priority="380">
      <formula>AND(ISNUMBER($DJ240),G$3+6&gt;=$DJ240,G$3&lt;=$DK240)</formula>
    </cfRule>
  </conditionalFormatting>
  <conditionalFormatting sqref="G242:DG242">
    <cfRule type="expression" dxfId="18" priority="381">
      <formula>AND(ISNUMBER($DJ242),G$3+6&gt;=$DJ242,G$3&lt;=$DK242)</formula>
    </cfRule>
  </conditionalFormatting>
  <conditionalFormatting sqref="G244:DG244">
    <cfRule type="expression" dxfId="18" priority="382">
      <formula>AND(ISNUMBER($DJ244),G$3+6&gt;=$DJ244,G$3&lt;=$DK244)</formula>
    </cfRule>
  </conditionalFormatting>
  <conditionalFormatting sqref="G246:DG246">
    <cfRule type="expression" dxfId="18" priority="383">
      <formula>AND(ISNUMBER($DJ246),G$3+6&gt;=$DJ246,G$3&lt;=$DK246)</formula>
    </cfRule>
  </conditionalFormatting>
  <conditionalFormatting sqref="G248:DG248">
    <cfRule type="expression" dxfId="18" priority="384">
      <formula>AND(ISNUMBER($DJ248),G$3+6&gt;=$DJ248,G$3&lt;=$DK248)</formula>
    </cfRule>
  </conditionalFormatting>
  <conditionalFormatting sqref="G250:DG250">
    <cfRule type="expression" dxfId="18" priority="385">
      <formula>AND(ISNUMBER($DJ250),G$3+6&gt;=$DJ250,G$3&lt;=$DK250)</formula>
    </cfRule>
  </conditionalFormatting>
  <conditionalFormatting sqref="G252:DG252">
    <cfRule type="expression" dxfId="18" priority="386">
      <formula>AND(ISNUMBER($DJ252),G$3+6&gt;=$DJ252,G$3&lt;=$DK252)</formula>
    </cfRule>
  </conditionalFormatting>
  <conditionalFormatting sqref="G254:DG254">
    <cfRule type="expression" dxfId="18" priority="387">
      <formula>AND(ISNUMBER($DJ254),G$3+6&gt;=$DJ254,G$3&lt;=$DK254)</formula>
    </cfRule>
  </conditionalFormatting>
  <conditionalFormatting sqref="G256:DG256">
    <cfRule type="expression" dxfId="18" priority="388">
      <formula>AND(ISNUMBER($DJ256),G$3+6&gt;=$DJ256,G$3&lt;=$DK256)</formula>
    </cfRule>
  </conditionalFormatting>
  <conditionalFormatting sqref="G258:DG258">
    <cfRule type="expression" dxfId="18" priority="389">
      <formula>AND(ISNUMBER($DJ258),G$3+6&gt;=$DJ258,G$3&lt;=$DK258)</formula>
    </cfRule>
  </conditionalFormatting>
  <conditionalFormatting sqref="G260:DG260">
    <cfRule type="expression" dxfId="18" priority="390">
      <formula>AND(ISNUMBER($DJ260),G$3+6&gt;=$DJ260,G$3&lt;=$DK260)</formula>
    </cfRule>
  </conditionalFormatting>
  <conditionalFormatting sqref="G262:DG262">
    <cfRule type="expression" dxfId="18" priority="391">
      <formula>AND(ISNUMBER($DJ262),G$3+6&gt;=$DJ262,G$3&lt;=$DK262)</formula>
    </cfRule>
  </conditionalFormatting>
  <conditionalFormatting sqref="G264:DG264">
    <cfRule type="expression" dxfId="18" priority="392">
      <formula>AND(ISNUMBER($DJ264),G$3+6&gt;=$DJ264,G$3&lt;=$DK264)</formula>
    </cfRule>
  </conditionalFormatting>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59E0B"/>
    <pageSetUpPr/>
  </sheetPr>
  <sheetViews>
    <sheetView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cols>
    <col customWidth="1" min="1" max="1" width="6.0"/>
    <col customWidth="1" min="2" max="2" width="32.0"/>
    <col customWidth="1" min="3" max="3" width="10.0"/>
    <col customWidth="1" min="4" max="4" width="28.0"/>
    <col customWidth="1" min="5" max="5" width="14.0"/>
    <col customWidth="1" min="6" max="6" width="16.0"/>
  </cols>
  <sheetData>
    <row r="1" ht="30.0" customHeight="1">
      <c r="A1" s="109" t="s">
        <v>278</v>
      </c>
      <c r="B1" s="110"/>
      <c r="C1" s="110"/>
      <c r="D1" s="110"/>
      <c r="E1" s="110"/>
      <c r="F1" s="111"/>
    </row>
    <row r="2" ht="19.5" customHeight="1">
      <c r="A2" s="150" t="s">
        <v>279</v>
      </c>
    </row>
    <row r="3" ht="7.5" customHeight="1">
      <c r="A3" s="3"/>
      <c r="B3" s="3"/>
      <c r="C3" s="3"/>
      <c r="D3" s="3"/>
      <c r="E3" s="3"/>
      <c r="F3" s="3"/>
    </row>
    <row r="4" ht="31.5" customHeight="1">
      <c r="A4" s="114" t="s">
        <v>280</v>
      </c>
      <c r="B4" s="114" t="s">
        <v>129</v>
      </c>
      <c r="C4" s="114" t="s">
        <v>95</v>
      </c>
      <c r="D4" s="114" t="s">
        <v>281</v>
      </c>
      <c r="E4" s="114" t="s">
        <v>282</v>
      </c>
      <c r="F4" s="114" t="s">
        <v>283</v>
      </c>
    </row>
    <row r="5" ht="21.75" customHeight="1">
      <c r="A5" s="64">
        <f t="shared" ref="A5:A134" si="1">IFERROR(IF(B5&lt;&gt;"",ROW()-4,""),"")</f>
        <v>1</v>
      </c>
      <c r="B5" s="83" t="str">
        <f>'Pelan Pengambilan'!B6</f>
        <v>Pegawai Perubatan</v>
      </c>
      <c r="C5" s="64" t="str">
        <f>'Pelan Pengambilan'!C6</f>
        <v>UD15</v>
      </c>
      <c r="D5" s="83" t="str">
        <f>'Pelan Pengambilan'!D6</f>
        <v>(1) Conventional</v>
      </c>
      <c r="E5" s="64">
        <f>'Pelan Pengambilan'!AF6</f>
        <v>2</v>
      </c>
      <c r="F5" s="64"/>
    </row>
    <row r="6" ht="21.75" customHeight="1">
      <c r="A6" s="64">
        <f t="shared" si="1"/>
        <v>2</v>
      </c>
      <c r="B6" s="83" t="str">
        <f>'Pelan Pengambilan'!B7</f>
        <v>Pegawai Perubatan</v>
      </c>
      <c r="C6" s="64" t="str">
        <f>'Pelan Pengambilan'!C7</f>
        <v>UD10</v>
      </c>
      <c r="D6" s="83" t="str">
        <f>'Pelan Pengambilan'!D7</f>
        <v>(1) Calon Simpanan</v>
      </c>
      <c r="E6" s="64">
        <f>'Pelan Pengambilan'!AF7</f>
        <v>1455</v>
      </c>
      <c r="F6" s="64"/>
    </row>
    <row r="7" ht="21.75" customHeight="1">
      <c r="A7" s="64">
        <f t="shared" si="1"/>
        <v>3</v>
      </c>
      <c r="B7" s="83" t="str">
        <f>'Pelan Pengambilan'!B8</f>
        <v>Pegawai Perubatan</v>
      </c>
      <c r="C7" s="64" t="str">
        <f>'Pelan Pengambilan'!C8</f>
        <v>UD10</v>
      </c>
      <c r="D7" s="83" t="str">
        <f>'Pelan Pengambilan'!D8</f>
        <v>(2) Bersasar</v>
      </c>
      <c r="E7" s="64">
        <f>'Pelan Pengambilan'!AF8</f>
        <v>306</v>
      </c>
      <c r="F7" s="64"/>
    </row>
    <row r="8" ht="21.75" customHeight="1">
      <c r="A8" s="64">
        <f t="shared" si="1"/>
        <v>4</v>
      </c>
      <c r="B8" s="83" t="str">
        <f>'Pelan Pengambilan'!B9</f>
        <v>Pegawai Pergigian</v>
      </c>
      <c r="C8" s="64" t="str">
        <f>'Pelan Pengambilan'!C9</f>
        <v>UG10</v>
      </c>
      <c r="D8" s="83" t="str">
        <f>'Pelan Pengambilan'!D9</f>
        <v>(1) Bersasar</v>
      </c>
      <c r="E8" s="64">
        <f>'Pelan Pengambilan'!AF9</f>
        <v>500</v>
      </c>
      <c r="F8" s="64"/>
    </row>
    <row r="9" ht="21.75" customHeight="1">
      <c r="A9" s="64">
        <f t="shared" si="1"/>
        <v>5</v>
      </c>
      <c r="B9" s="83" t="str">
        <f>'Pelan Pengambilan'!B10</f>
        <v>Pegawai Kesihatan Persekitaran </v>
      </c>
      <c r="C9" s="64" t="str">
        <f>'Pelan Pengambilan'!C10</f>
        <v>U9</v>
      </c>
      <c r="D9" s="83" t="str">
        <f>'Pelan Pengambilan'!D10</f>
        <v>(1) Calon Simpanan</v>
      </c>
      <c r="E9" s="64">
        <f>'Pelan Pengambilan'!AF10</f>
        <v>4</v>
      </c>
      <c r="F9" s="64"/>
    </row>
    <row r="10" ht="21.75" customHeight="1">
      <c r="A10" s="64">
        <f t="shared" si="1"/>
        <v>6</v>
      </c>
      <c r="B10" s="83" t="str">
        <f>'Pelan Pengambilan'!B11</f>
        <v>Pegawai Perubatan</v>
      </c>
      <c r="C10" s="64" t="str">
        <f>'Pelan Pengambilan'!C11</f>
        <v>UD13</v>
      </c>
      <c r="D10" s="83" t="str">
        <f>'Pelan Pengambilan'!D11</f>
        <v>(1) Conventional</v>
      </c>
      <c r="E10" s="64">
        <f>'Pelan Pengambilan'!AF11</f>
        <v>65</v>
      </c>
      <c r="F10" s="64"/>
    </row>
    <row r="11" ht="21.75" customHeight="1">
      <c r="A11" s="64">
        <f t="shared" si="1"/>
        <v>7</v>
      </c>
      <c r="B11" s="83" t="str">
        <f>'Pelan Pengambilan'!B12</f>
        <v>Pegawai Pemulihan Perubatan (Pertuturan)</v>
      </c>
      <c r="C11" s="64" t="str">
        <f>'Pelan Pengambilan'!C12</f>
        <v>U9</v>
      </c>
      <c r="D11" s="83" t="str">
        <f>'Pelan Pengambilan'!D12</f>
        <v>(1) Conventional</v>
      </c>
      <c r="E11" s="64">
        <f>'Pelan Pengambilan'!AF12</f>
        <v>65</v>
      </c>
      <c r="F11" s="64"/>
    </row>
    <row r="12" ht="21.75" customHeight="1">
      <c r="A12" s="64">
        <f t="shared" si="1"/>
        <v>8</v>
      </c>
      <c r="B12" s="83" t="str">
        <f>'Pelan Pengambilan'!B13</f>
        <v>Pegawai Pemulihan Perubatan (Fisioterapi)</v>
      </c>
      <c r="C12" s="64" t="str">
        <f>'Pelan Pengambilan'!C13</f>
        <v>U9</v>
      </c>
      <c r="D12" s="83" t="str">
        <f>'Pelan Pengambilan'!D13</f>
        <v>(1) Conventional</v>
      </c>
      <c r="E12" s="64">
        <f>'Pelan Pengambilan'!AF13</f>
        <v>65</v>
      </c>
      <c r="F12" s="64"/>
    </row>
    <row r="13" ht="21.75" customHeight="1">
      <c r="A13" s="64">
        <f t="shared" si="1"/>
        <v>9</v>
      </c>
      <c r="B13" s="83" t="str">
        <f>'Pelan Pengambilan'!B14</f>
        <v>Pegawai Pemulihan Perubatan (Cara Kerja)</v>
      </c>
      <c r="C13" s="64" t="str">
        <f>'Pelan Pengambilan'!C14</f>
        <v>U9</v>
      </c>
      <c r="D13" s="83" t="str">
        <f>'Pelan Pengambilan'!D14</f>
        <v>(1) Conventional</v>
      </c>
      <c r="E13" s="64">
        <f>'Pelan Pengambilan'!AF14</f>
        <v>65</v>
      </c>
      <c r="F13" s="64"/>
    </row>
    <row r="14" ht="21.75" customHeight="1">
      <c r="A14" s="64">
        <f t="shared" si="1"/>
        <v>10</v>
      </c>
      <c r="B14" s="83" t="str">
        <f>'Pelan Pengambilan'!B15</f>
        <v>Pengajar (Jururawat)</v>
      </c>
      <c r="C14" s="64" t="str">
        <f>'Pelan Pengambilan'!C15</f>
        <v>U9</v>
      </c>
      <c r="D14" s="83" t="str">
        <f>'Pelan Pengambilan'!D15</f>
        <v>(1) Conventional</v>
      </c>
      <c r="E14" s="64">
        <f>'Pelan Pengambilan'!AF15</f>
        <v>13</v>
      </c>
      <c r="F14" s="64"/>
    </row>
    <row r="15" ht="21.75" customHeight="1">
      <c r="A15" s="64">
        <f t="shared" si="1"/>
        <v>11</v>
      </c>
      <c r="B15" s="83" t="str">
        <f>'Pelan Pengambilan'!B16</f>
        <v>Pengajar (Penolong Pegawai Perubatan)</v>
      </c>
      <c r="C15" s="64" t="str">
        <f>'Pelan Pengambilan'!C16</f>
        <v>U9</v>
      </c>
      <c r="D15" s="83" t="str">
        <f>'Pelan Pengambilan'!D16</f>
        <v>(1) Conventional</v>
      </c>
      <c r="E15" s="64">
        <f>'Pelan Pengambilan'!AF16</f>
        <v>10</v>
      </c>
      <c r="F15" s="64"/>
    </row>
    <row r="16" ht="21.75" customHeight="1">
      <c r="A16" s="64">
        <f t="shared" si="1"/>
        <v>12</v>
      </c>
      <c r="B16" s="83" t="str">
        <f>'Pelan Pengambilan'!B17</f>
        <v>Jururawat </v>
      </c>
      <c r="C16" s="64" t="str">
        <f>'Pelan Pengambilan'!C17</f>
        <v>U9</v>
      </c>
      <c r="D16" s="83" t="str">
        <f>'Pelan Pengambilan'!D17</f>
        <v>(1) Calon Simpanan</v>
      </c>
      <c r="E16" s="64">
        <f>'Pelan Pengambilan'!AF17</f>
        <v>59</v>
      </c>
      <c r="F16" s="64"/>
    </row>
    <row r="17" ht="21.75" customHeight="1">
      <c r="A17" s="64">
        <f t="shared" si="1"/>
        <v>13</v>
      </c>
      <c r="B17" s="83" t="str">
        <f>'Pelan Pengambilan'!B18</f>
        <v>Penolong Pegawai Perubatan</v>
      </c>
      <c r="C17" s="64" t="str">
        <f>'Pelan Pengambilan'!C18</f>
        <v>U9</v>
      </c>
      <c r="D17" s="83" t="str">
        <f>'Pelan Pengambilan'!D18</f>
        <v>(1) Calon Simpanan</v>
      </c>
      <c r="E17" s="64">
        <f>'Pelan Pengambilan'!AF18</f>
        <v>37</v>
      </c>
      <c r="F17" s="64"/>
    </row>
    <row r="18" ht="21.75" customHeight="1">
      <c r="A18" s="64">
        <f t="shared" si="1"/>
        <v>14</v>
      </c>
      <c r="B18" s="83" t="str">
        <f>'Pelan Pengambilan'!B19</f>
        <v>Penolong Pegawai Perubatan</v>
      </c>
      <c r="C18" s="64" t="str">
        <f>'Pelan Pengambilan'!C19</f>
        <v>U9</v>
      </c>
      <c r="D18" s="83" t="str">
        <f>'Pelan Pengambilan'!D19</f>
        <v>(2) Conventional</v>
      </c>
      <c r="E18" s="64">
        <f>'Pelan Pengambilan'!AF19</f>
        <v>43</v>
      </c>
      <c r="F18" s="64"/>
    </row>
    <row r="19" ht="21.75" customHeight="1">
      <c r="A19" s="64">
        <f t="shared" si="1"/>
        <v>15</v>
      </c>
      <c r="B19" s="83" t="str">
        <f>'Pelan Pengambilan'!B20</f>
        <v>Juru X-Ray (Diagnostik)</v>
      </c>
      <c r="C19" s="64" t="str">
        <f>'Pelan Pengambilan'!C20</f>
        <v>U9</v>
      </c>
      <c r="D19" s="83" t="str">
        <f>'Pelan Pengambilan'!D20</f>
        <v>(1) Conventional</v>
      </c>
      <c r="E19" s="64">
        <f>'Pelan Pengambilan'!AF20</f>
        <v>7</v>
      </c>
      <c r="F19" s="64"/>
    </row>
    <row r="20" ht="21.75" customHeight="1">
      <c r="A20" s="64">
        <f t="shared" si="1"/>
        <v>16</v>
      </c>
      <c r="B20" s="83" t="str">
        <f>'Pelan Pengambilan'!B21</f>
        <v>Pegawai Dietetik</v>
      </c>
      <c r="C20" s="64" t="str">
        <f>'Pelan Pengambilan'!C21</f>
        <v>U9</v>
      </c>
      <c r="D20" s="83" t="str">
        <f>'Pelan Pengambilan'!D21</f>
        <v>(1) Calon Simpanan</v>
      </c>
      <c r="E20" s="64">
        <f>'Pelan Pengambilan'!AF21</f>
        <v>70</v>
      </c>
      <c r="F20" s="64"/>
    </row>
    <row r="21" ht="21.75" customHeight="1">
      <c r="A21" s="64">
        <f t="shared" si="1"/>
        <v>17</v>
      </c>
      <c r="B21" s="83" t="str">
        <f>'Pelan Pengambilan'!B22</f>
        <v>Pegawai Dietetik</v>
      </c>
      <c r="C21" s="64" t="str">
        <f>'Pelan Pengambilan'!C22</f>
        <v>U9</v>
      </c>
      <c r="D21" s="83" t="str">
        <f>'Pelan Pengambilan'!D22</f>
        <v>(2) Conventional</v>
      </c>
      <c r="E21" s="64">
        <f>'Pelan Pengambilan'!AF22</f>
        <v>6</v>
      </c>
      <c r="F21" s="64"/>
    </row>
    <row r="22" ht="21.75" customHeight="1">
      <c r="A22" s="64">
        <f t="shared" si="1"/>
        <v>18</v>
      </c>
      <c r="B22" s="83" t="str">
        <f>'Pelan Pengambilan'!B23</f>
        <v>Pegawai Pemulihan Perubatan (Pendengaran)</v>
      </c>
      <c r="C22" s="64" t="str">
        <f>'Pelan Pengambilan'!C23</f>
        <v>U9</v>
      </c>
      <c r="D22" s="83" t="str">
        <f>'Pelan Pengambilan'!D23</f>
        <v>(1) Conventional</v>
      </c>
      <c r="E22" s="64">
        <f>'Pelan Pengambilan'!AF23</f>
        <v>13</v>
      </c>
      <c r="F22" s="64"/>
    </row>
    <row r="23" ht="21.75" customHeight="1">
      <c r="A23" s="64">
        <f t="shared" si="1"/>
        <v>19</v>
      </c>
      <c r="B23" s="83" t="str">
        <f>'Pelan Pengambilan'!B24</f>
        <v>Pegawai Optometri</v>
      </c>
      <c r="C23" s="64" t="str">
        <f>'Pelan Pengambilan'!C24</f>
        <v>U9</v>
      </c>
      <c r="D23" s="83" t="str">
        <f>'Pelan Pengambilan'!D24</f>
        <v>(1) Conventional</v>
      </c>
      <c r="E23" s="64">
        <f>'Pelan Pengambilan'!AF24</f>
        <v>34</v>
      </c>
      <c r="F23" s="64"/>
    </row>
    <row r="24" ht="21.75" customHeight="1">
      <c r="A24" s="64">
        <f t="shared" si="1"/>
        <v>20</v>
      </c>
      <c r="B24" s="83" t="str">
        <f>'Pelan Pengambilan'!B25</f>
        <v>Pengajar (Penolong Pegawai Kesihatan Persekitaran)</v>
      </c>
      <c r="C24" s="64" t="str">
        <f>'Pelan Pengambilan'!C25</f>
        <v>U9</v>
      </c>
      <c r="D24" s="83" t="str">
        <f>'Pelan Pengambilan'!D25</f>
        <v>(1) Conventional</v>
      </c>
      <c r="E24" s="64">
        <f>'Pelan Pengambilan'!AF25</f>
        <v>8</v>
      </c>
      <c r="F24" s="64"/>
    </row>
    <row r="25" ht="21.75" customHeight="1">
      <c r="A25" s="64">
        <f t="shared" si="1"/>
        <v>21</v>
      </c>
      <c r="B25" s="83" t="str">
        <f>'Pelan Pengambilan'!B26</f>
        <v>Pengajar  (Juruteknologi Pergigian)</v>
      </c>
      <c r="C25" s="64" t="str">
        <f>'Pelan Pengambilan'!C26</f>
        <v>U9</v>
      </c>
      <c r="D25" s="83" t="str">
        <f>'Pelan Pengambilan'!D26</f>
        <v>(1) Conventional</v>
      </c>
      <c r="E25" s="64">
        <f>'Pelan Pengambilan'!AF26</f>
        <v>4</v>
      </c>
      <c r="F25" s="64"/>
    </row>
    <row r="26" ht="21.75" customHeight="1">
      <c r="A26" s="64">
        <f t="shared" si="1"/>
        <v>22</v>
      </c>
      <c r="B26" s="83" t="str">
        <f>'Pelan Pengambilan'!B27</f>
        <v>Pengajar  (Penolong Pegawai Farmasi)</v>
      </c>
      <c r="C26" s="64" t="str">
        <f>'Pelan Pengambilan'!C27</f>
        <v>U9</v>
      </c>
      <c r="D26" s="83" t="str">
        <f>'Pelan Pengambilan'!D27</f>
        <v>(1) Conventional</v>
      </c>
      <c r="E26" s="64">
        <f>'Pelan Pengambilan'!AF27</f>
        <v>2</v>
      </c>
      <c r="F26" s="64"/>
    </row>
    <row r="27" ht="21.75" customHeight="1">
      <c r="A27" s="64">
        <f t="shared" si="1"/>
        <v>23</v>
      </c>
      <c r="B27" s="83" t="str">
        <f>'Pelan Pengambilan'!B28</f>
        <v>Pengajar (Jurupulih Perubatan Carakerja)</v>
      </c>
      <c r="C27" s="64" t="str">
        <f>'Pelan Pengambilan'!C28</f>
        <v>U9</v>
      </c>
      <c r="D27" s="83" t="str">
        <f>'Pelan Pengambilan'!D28</f>
        <v>(1) Conventional</v>
      </c>
      <c r="E27" s="64">
        <f>'Pelan Pengambilan'!AF28</f>
        <v>2</v>
      </c>
      <c r="F27" s="64"/>
    </row>
    <row r="28" ht="21.75" customHeight="1">
      <c r="A28" s="64">
        <f t="shared" si="1"/>
        <v>24</v>
      </c>
      <c r="B28" s="83" t="str">
        <f>'Pelan Pengambilan'!B29</f>
        <v>Pengajar (Radiografi &amp; Radioterapi - Juru X-Ray)</v>
      </c>
      <c r="C28" s="64" t="str">
        <f>'Pelan Pengambilan'!C29</f>
        <v>U9</v>
      </c>
      <c r="D28" s="83" t="str">
        <f>'Pelan Pengambilan'!D29</f>
        <v>(1) Conventional</v>
      </c>
      <c r="E28" s="64">
        <f>'Pelan Pengambilan'!AF29</f>
        <v>3</v>
      </c>
      <c r="F28" s="64"/>
    </row>
    <row r="29" ht="21.75" customHeight="1">
      <c r="A29" s="64" t="str">
        <f t="shared" si="1"/>
        <v/>
      </c>
      <c r="B29" s="83" t="str">
        <f>'Pelan Pengambilan'!B30</f>
        <v/>
      </c>
      <c r="C29" s="64" t="str">
        <f>'Pelan Pengambilan'!C30</f>
        <v/>
      </c>
      <c r="D29" s="83" t="str">
        <f>'Pelan Pengambilan'!D30</f>
        <v/>
      </c>
      <c r="E29" s="64" t="str">
        <f>'Pelan Pengambilan'!AF30</f>
        <v/>
      </c>
      <c r="F29" s="64"/>
    </row>
    <row r="30" ht="21.75" customHeight="1">
      <c r="A30" s="64" t="str">
        <f t="shared" si="1"/>
        <v/>
      </c>
      <c r="B30" s="83" t="str">
        <f>'Pelan Pengambilan'!B31</f>
        <v/>
      </c>
      <c r="C30" s="64" t="str">
        <f>'Pelan Pengambilan'!C31</f>
        <v/>
      </c>
      <c r="D30" s="83" t="str">
        <f>'Pelan Pengambilan'!D31</f>
        <v/>
      </c>
      <c r="E30" s="64" t="str">
        <f>'Pelan Pengambilan'!AF31</f>
        <v/>
      </c>
      <c r="F30" s="64"/>
    </row>
    <row r="31" ht="21.75" customHeight="1">
      <c r="A31" s="64" t="str">
        <f t="shared" si="1"/>
        <v/>
      </c>
      <c r="B31" s="83" t="str">
        <f>'Pelan Pengambilan'!B32</f>
        <v/>
      </c>
      <c r="C31" s="64" t="str">
        <f>'Pelan Pengambilan'!C32</f>
        <v/>
      </c>
      <c r="D31" s="83" t="str">
        <f>'Pelan Pengambilan'!D32</f>
        <v/>
      </c>
      <c r="E31" s="64" t="str">
        <f>'Pelan Pengambilan'!AF32</f>
        <v/>
      </c>
      <c r="F31" s="64"/>
    </row>
    <row r="32" ht="21.75" customHeight="1">
      <c r="A32" s="64" t="str">
        <f t="shared" si="1"/>
        <v/>
      </c>
      <c r="B32" s="83" t="str">
        <f>'Pelan Pengambilan'!B33</f>
        <v/>
      </c>
      <c r="C32" s="64" t="str">
        <f>'Pelan Pengambilan'!C33</f>
        <v/>
      </c>
      <c r="D32" s="83" t="str">
        <f>'Pelan Pengambilan'!D33</f>
        <v/>
      </c>
      <c r="E32" s="64" t="str">
        <f>'Pelan Pengambilan'!AF33</f>
        <v/>
      </c>
      <c r="F32" s="64"/>
    </row>
    <row r="33" ht="21.75" customHeight="1">
      <c r="A33" s="64" t="str">
        <f t="shared" si="1"/>
        <v/>
      </c>
      <c r="B33" s="83" t="str">
        <f>'Pelan Pengambilan'!B34</f>
        <v/>
      </c>
      <c r="C33" s="64" t="str">
        <f>'Pelan Pengambilan'!C34</f>
        <v/>
      </c>
      <c r="D33" s="83" t="str">
        <f>'Pelan Pengambilan'!D34</f>
        <v/>
      </c>
      <c r="E33" s="64" t="str">
        <f>'Pelan Pengambilan'!AF34</f>
        <v/>
      </c>
      <c r="F33" s="64"/>
    </row>
    <row r="34" ht="21.75" customHeight="1">
      <c r="A34" s="64" t="str">
        <f t="shared" si="1"/>
        <v/>
      </c>
      <c r="B34" s="83" t="str">
        <f>'Pelan Pengambilan'!B35</f>
        <v/>
      </c>
      <c r="C34" s="64" t="str">
        <f>'Pelan Pengambilan'!C35</f>
        <v/>
      </c>
      <c r="D34" s="83" t="str">
        <f>'Pelan Pengambilan'!D35</f>
        <v/>
      </c>
      <c r="E34" s="64" t="str">
        <f>'Pelan Pengambilan'!AF35</f>
        <v/>
      </c>
      <c r="F34" s="64"/>
    </row>
    <row r="35" ht="21.75" customHeight="1">
      <c r="A35" s="64" t="str">
        <f t="shared" si="1"/>
        <v/>
      </c>
      <c r="B35" s="83" t="str">
        <f>'Pelan Pengambilan'!B36</f>
        <v/>
      </c>
      <c r="C35" s="64" t="str">
        <f>'Pelan Pengambilan'!C36</f>
        <v/>
      </c>
      <c r="D35" s="83" t="str">
        <f>'Pelan Pengambilan'!D36</f>
        <v/>
      </c>
      <c r="E35" s="64" t="str">
        <f>'Pelan Pengambilan'!AF36</f>
        <v/>
      </c>
      <c r="F35" s="64"/>
    </row>
    <row r="36" ht="21.75" customHeight="1">
      <c r="A36" s="64" t="str">
        <f t="shared" si="1"/>
        <v/>
      </c>
      <c r="B36" s="83" t="str">
        <f>'Pelan Pengambilan'!B37</f>
        <v/>
      </c>
      <c r="C36" s="64" t="str">
        <f>'Pelan Pengambilan'!C37</f>
        <v/>
      </c>
      <c r="D36" s="83" t="str">
        <f>'Pelan Pengambilan'!D37</f>
        <v/>
      </c>
      <c r="E36" s="64" t="str">
        <f>'Pelan Pengambilan'!AF37</f>
        <v/>
      </c>
      <c r="F36" s="64"/>
    </row>
    <row r="37" ht="21.75" customHeight="1">
      <c r="A37" s="64" t="str">
        <f t="shared" si="1"/>
        <v/>
      </c>
      <c r="B37" s="83" t="str">
        <f>'Pelan Pengambilan'!B38</f>
        <v/>
      </c>
      <c r="C37" s="64" t="str">
        <f>'Pelan Pengambilan'!C38</f>
        <v/>
      </c>
      <c r="D37" s="83" t="str">
        <f>'Pelan Pengambilan'!D38</f>
        <v/>
      </c>
      <c r="E37" s="64" t="str">
        <f>'Pelan Pengambilan'!AF38</f>
        <v/>
      </c>
      <c r="F37" s="64"/>
    </row>
    <row r="38" ht="21.75" customHeight="1">
      <c r="A38" s="64" t="str">
        <f t="shared" si="1"/>
        <v/>
      </c>
      <c r="B38" s="83" t="str">
        <f>'Pelan Pengambilan'!B39</f>
        <v/>
      </c>
      <c r="C38" s="64" t="str">
        <f>'Pelan Pengambilan'!C39</f>
        <v/>
      </c>
      <c r="D38" s="83" t="str">
        <f>'Pelan Pengambilan'!D39</f>
        <v/>
      </c>
      <c r="E38" s="64" t="str">
        <f>'Pelan Pengambilan'!AF39</f>
        <v/>
      </c>
      <c r="F38" s="64"/>
    </row>
    <row r="39" ht="21.75" customHeight="1">
      <c r="A39" s="64" t="str">
        <f t="shared" si="1"/>
        <v/>
      </c>
      <c r="B39" s="83" t="str">
        <f>'Pelan Pengambilan'!B40</f>
        <v/>
      </c>
      <c r="C39" s="64" t="str">
        <f>'Pelan Pengambilan'!C40</f>
        <v/>
      </c>
      <c r="D39" s="83" t="str">
        <f>'Pelan Pengambilan'!D40</f>
        <v/>
      </c>
      <c r="E39" s="64" t="str">
        <f>'Pelan Pengambilan'!AF40</f>
        <v/>
      </c>
      <c r="F39" s="64"/>
    </row>
    <row r="40" ht="21.75" customHeight="1">
      <c r="A40" s="64" t="str">
        <f t="shared" si="1"/>
        <v/>
      </c>
      <c r="B40" s="83" t="str">
        <f>'Pelan Pengambilan'!B41</f>
        <v/>
      </c>
      <c r="C40" s="64" t="str">
        <f>'Pelan Pengambilan'!C41</f>
        <v/>
      </c>
      <c r="D40" s="83" t="str">
        <f>'Pelan Pengambilan'!D41</f>
        <v/>
      </c>
      <c r="E40" s="64" t="str">
        <f>'Pelan Pengambilan'!AF41</f>
        <v/>
      </c>
      <c r="F40" s="64"/>
    </row>
    <row r="41" ht="21.75" customHeight="1">
      <c r="A41" s="64" t="str">
        <f t="shared" si="1"/>
        <v/>
      </c>
      <c r="B41" s="83" t="str">
        <f>'Pelan Pengambilan'!B42</f>
        <v/>
      </c>
      <c r="C41" s="64" t="str">
        <f>'Pelan Pengambilan'!C42</f>
        <v/>
      </c>
      <c r="D41" s="83" t="str">
        <f>'Pelan Pengambilan'!D42</f>
        <v/>
      </c>
      <c r="E41" s="64" t="str">
        <f>'Pelan Pengambilan'!AF42</f>
        <v/>
      </c>
      <c r="F41" s="64"/>
    </row>
    <row r="42" ht="21.75" customHeight="1">
      <c r="A42" s="64" t="str">
        <f t="shared" si="1"/>
        <v/>
      </c>
      <c r="B42" s="83" t="str">
        <f>'Pelan Pengambilan'!B43</f>
        <v/>
      </c>
      <c r="C42" s="64" t="str">
        <f>'Pelan Pengambilan'!C43</f>
        <v/>
      </c>
      <c r="D42" s="83" t="str">
        <f>'Pelan Pengambilan'!D43</f>
        <v/>
      </c>
      <c r="E42" s="64" t="str">
        <f>'Pelan Pengambilan'!AF43</f>
        <v/>
      </c>
      <c r="F42" s="64"/>
    </row>
    <row r="43" ht="21.75" customHeight="1">
      <c r="A43" s="64" t="str">
        <f t="shared" si="1"/>
        <v/>
      </c>
      <c r="B43" s="83" t="str">
        <f>'Pelan Pengambilan'!B44</f>
        <v/>
      </c>
      <c r="C43" s="64" t="str">
        <f>'Pelan Pengambilan'!C44</f>
        <v/>
      </c>
      <c r="D43" s="83" t="str">
        <f>'Pelan Pengambilan'!D44</f>
        <v/>
      </c>
      <c r="E43" s="64" t="str">
        <f>'Pelan Pengambilan'!AF44</f>
        <v/>
      </c>
      <c r="F43" s="64"/>
    </row>
    <row r="44" ht="21.75" customHeight="1">
      <c r="A44" s="64" t="str">
        <f t="shared" si="1"/>
        <v/>
      </c>
      <c r="B44" s="83" t="str">
        <f>'Pelan Pengambilan'!B45</f>
        <v/>
      </c>
      <c r="C44" s="64" t="str">
        <f>'Pelan Pengambilan'!C45</f>
        <v/>
      </c>
      <c r="D44" s="83" t="str">
        <f>'Pelan Pengambilan'!D45</f>
        <v/>
      </c>
      <c r="E44" s="64" t="str">
        <f>'Pelan Pengambilan'!AF45</f>
        <v/>
      </c>
      <c r="F44" s="64"/>
    </row>
    <row r="45" ht="21.75" customHeight="1">
      <c r="A45" s="64" t="str">
        <f t="shared" si="1"/>
        <v/>
      </c>
      <c r="B45" s="83" t="str">
        <f>'Pelan Pengambilan'!B46</f>
        <v/>
      </c>
      <c r="C45" s="64" t="str">
        <f>'Pelan Pengambilan'!C46</f>
        <v/>
      </c>
      <c r="D45" s="83" t="str">
        <f>'Pelan Pengambilan'!D46</f>
        <v/>
      </c>
      <c r="E45" s="64" t="str">
        <f>'Pelan Pengambilan'!AF46</f>
        <v/>
      </c>
      <c r="F45" s="64"/>
    </row>
    <row r="46" ht="21.75" customHeight="1">
      <c r="A46" s="64" t="str">
        <f t="shared" si="1"/>
        <v/>
      </c>
      <c r="B46" s="83" t="str">
        <f>'Pelan Pengambilan'!B47</f>
        <v/>
      </c>
      <c r="C46" s="64" t="str">
        <f>'Pelan Pengambilan'!C47</f>
        <v/>
      </c>
      <c r="D46" s="83" t="str">
        <f>'Pelan Pengambilan'!D47</f>
        <v/>
      </c>
      <c r="E46" s="64" t="str">
        <f>'Pelan Pengambilan'!AF47</f>
        <v/>
      </c>
      <c r="F46" s="64"/>
    </row>
    <row r="47" ht="21.75" customHeight="1">
      <c r="A47" s="64" t="str">
        <f t="shared" si="1"/>
        <v/>
      </c>
      <c r="B47" s="83" t="str">
        <f>'Pelan Pengambilan'!B48</f>
        <v/>
      </c>
      <c r="C47" s="64" t="str">
        <f>'Pelan Pengambilan'!C48</f>
        <v/>
      </c>
      <c r="D47" s="83" t="str">
        <f>'Pelan Pengambilan'!D48</f>
        <v/>
      </c>
      <c r="E47" s="64" t="str">
        <f>'Pelan Pengambilan'!AF48</f>
        <v/>
      </c>
      <c r="F47" s="64"/>
    </row>
    <row r="48" ht="21.75" customHeight="1">
      <c r="A48" s="64" t="str">
        <f t="shared" si="1"/>
        <v/>
      </c>
      <c r="B48" s="83" t="str">
        <f>'Pelan Pengambilan'!B49</f>
        <v/>
      </c>
      <c r="C48" s="64" t="str">
        <f>'Pelan Pengambilan'!C49</f>
        <v/>
      </c>
      <c r="D48" s="83" t="str">
        <f>'Pelan Pengambilan'!D49</f>
        <v/>
      </c>
      <c r="E48" s="64" t="str">
        <f>'Pelan Pengambilan'!AF49</f>
        <v/>
      </c>
      <c r="F48" s="64"/>
    </row>
    <row r="49" ht="21.75" customHeight="1">
      <c r="A49" s="64" t="str">
        <f t="shared" si="1"/>
        <v/>
      </c>
      <c r="B49" s="83" t="str">
        <f>'Pelan Pengambilan'!B50</f>
        <v/>
      </c>
      <c r="C49" s="64" t="str">
        <f>'Pelan Pengambilan'!C50</f>
        <v/>
      </c>
      <c r="D49" s="83" t="str">
        <f>'Pelan Pengambilan'!D50</f>
        <v/>
      </c>
      <c r="E49" s="64" t="str">
        <f>'Pelan Pengambilan'!AF50</f>
        <v/>
      </c>
      <c r="F49" s="64"/>
    </row>
    <row r="50" ht="21.75" customHeight="1">
      <c r="A50" s="64" t="str">
        <f t="shared" si="1"/>
        <v/>
      </c>
      <c r="B50" s="83" t="str">
        <f>'Pelan Pengambilan'!B51</f>
        <v/>
      </c>
      <c r="C50" s="64" t="str">
        <f>'Pelan Pengambilan'!C51</f>
        <v/>
      </c>
      <c r="D50" s="83" t="str">
        <f>'Pelan Pengambilan'!D51</f>
        <v/>
      </c>
      <c r="E50" s="64" t="str">
        <f>'Pelan Pengambilan'!AF51</f>
        <v/>
      </c>
      <c r="F50" s="64"/>
    </row>
    <row r="51" ht="21.75" customHeight="1">
      <c r="A51" s="64" t="str">
        <f t="shared" si="1"/>
        <v/>
      </c>
      <c r="B51" s="83" t="str">
        <f>'Pelan Pengambilan'!B52</f>
        <v/>
      </c>
      <c r="C51" s="64" t="str">
        <f>'Pelan Pengambilan'!C52</f>
        <v/>
      </c>
      <c r="D51" s="83" t="str">
        <f>'Pelan Pengambilan'!D52</f>
        <v/>
      </c>
      <c r="E51" s="64" t="str">
        <f>'Pelan Pengambilan'!AF52</f>
        <v/>
      </c>
      <c r="F51" s="64"/>
    </row>
    <row r="52" ht="21.75" customHeight="1">
      <c r="A52" s="64" t="str">
        <f t="shared" si="1"/>
        <v/>
      </c>
      <c r="B52" s="83" t="str">
        <f>'Pelan Pengambilan'!B53</f>
        <v/>
      </c>
      <c r="C52" s="64" t="str">
        <f>'Pelan Pengambilan'!C53</f>
        <v/>
      </c>
      <c r="D52" s="83" t="str">
        <f>'Pelan Pengambilan'!D53</f>
        <v/>
      </c>
      <c r="E52" s="64" t="str">
        <f>'Pelan Pengambilan'!AF53</f>
        <v/>
      </c>
      <c r="F52" s="64"/>
    </row>
    <row r="53" ht="21.75" customHeight="1">
      <c r="A53" s="64" t="str">
        <f t="shared" si="1"/>
        <v/>
      </c>
      <c r="B53" s="83" t="str">
        <f>'Pelan Pengambilan'!B54</f>
        <v/>
      </c>
      <c r="C53" s="64" t="str">
        <f>'Pelan Pengambilan'!C54</f>
        <v/>
      </c>
      <c r="D53" s="83" t="str">
        <f>'Pelan Pengambilan'!D54</f>
        <v/>
      </c>
      <c r="E53" s="64" t="str">
        <f>'Pelan Pengambilan'!AF54</f>
        <v/>
      </c>
      <c r="F53" s="64"/>
    </row>
    <row r="54" ht="21.75" customHeight="1">
      <c r="A54" s="64" t="str">
        <f t="shared" si="1"/>
        <v/>
      </c>
      <c r="B54" s="83" t="str">
        <f>'Pelan Pengambilan'!B55</f>
        <v/>
      </c>
      <c r="C54" s="64" t="str">
        <f>'Pelan Pengambilan'!C55</f>
        <v/>
      </c>
      <c r="D54" s="83" t="str">
        <f>'Pelan Pengambilan'!D55</f>
        <v/>
      </c>
      <c r="E54" s="64" t="str">
        <f>'Pelan Pengambilan'!AF55</f>
        <v/>
      </c>
      <c r="F54" s="64"/>
    </row>
    <row r="55" ht="21.75" customHeight="1">
      <c r="A55" s="64" t="str">
        <f t="shared" si="1"/>
        <v/>
      </c>
      <c r="B55" s="83" t="str">
        <f>'Pelan Pengambilan'!B56</f>
        <v/>
      </c>
      <c r="C55" s="64" t="str">
        <f>'Pelan Pengambilan'!C56</f>
        <v/>
      </c>
      <c r="D55" s="83" t="str">
        <f>'Pelan Pengambilan'!D56</f>
        <v/>
      </c>
      <c r="E55" s="64" t="str">
        <f>'Pelan Pengambilan'!AF56</f>
        <v/>
      </c>
      <c r="F55" s="64"/>
    </row>
    <row r="56" ht="21.75" customHeight="1">
      <c r="A56" s="64" t="str">
        <f t="shared" si="1"/>
        <v/>
      </c>
      <c r="B56" s="83" t="str">
        <f>'Pelan Pengambilan'!B57</f>
        <v/>
      </c>
      <c r="C56" s="64" t="str">
        <f>'Pelan Pengambilan'!C57</f>
        <v/>
      </c>
      <c r="D56" s="83" t="str">
        <f>'Pelan Pengambilan'!D57</f>
        <v/>
      </c>
      <c r="E56" s="64" t="str">
        <f>'Pelan Pengambilan'!AF57</f>
        <v/>
      </c>
      <c r="F56" s="64"/>
    </row>
    <row r="57" ht="21.75" customHeight="1">
      <c r="A57" s="64" t="str">
        <f t="shared" si="1"/>
        <v/>
      </c>
      <c r="B57" s="83" t="str">
        <f>'Pelan Pengambilan'!B58</f>
        <v/>
      </c>
      <c r="C57" s="64" t="str">
        <f>'Pelan Pengambilan'!C58</f>
        <v/>
      </c>
      <c r="D57" s="83" t="str">
        <f>'Pelan Pengambilan'!D58</f>
        <v/>
      </c>
      <c r="E57" s="64" t="str">
        <f>'Pelan Pengambilan'!AF58</f>
        <v/>
      </c>
      <c r="F57" s="64"/>
    </row>
    <row r="58" ht="21.75" customHeight="1">
      <c r="A58" s="64" t="str">
        <f t="shared" si="1"/>
        <v/>
      </c>
      <c r="B58" s="83" t="str">
        <f>'Pelan Pengambilan'!B59</f>
        <v/>
      </c>
      <c r="C58" s="64" t="str">
        <f>'Pelan Pengambilan'!C59</f>
        <v/>
      </c>
      <c r="D58" s="83" t="str">
        <f>'Pelan Pengambilan'!D59</f>
        <v/>
      </c>
      <c r="E58" s="64" t="str">
        <f>'Pelan Pengambilan'!AF59</f>
        <v/>
      </c>
      <c r="F58" s="64"/>
    </row>
    <row r="59" ht="21.75" customHeight="1">
      <c r="A59" s="64" t="str">
        <f t="shared" si="1"/>
        <v/>
      </c>
      <c r="B59" s="83" t="str">
        <f>'Pelan Pengambilan'!B60</f>
        <v/>
      </c>
      <c r="C59" s="64" t="str">
        <f>'Pelan Pengambilan'!C60</f>
        <v/>
      </c>
      <c r="D59" s="83" t="str">
        <f>'Pelan Pengambilan'!D60</f>
        <v/>
      </c>
      <c r="E59" s="64" t="str">
        <f>'Pelan Pengambilan'!AF60</f>
        <v/>
      </c>
      <c r="F59" s="64"/>
    </row>
    <row r="60" ht="21.75" customHeight="1">
      <c r="A60" s="64" t="str">
        <f t="shared" si="1"/>
        <v/>
      </c>
      <c r="B60" s="83" t="str">
        <f>'Pelan Pengambilan'!B61</f>
        <v/>
      </c>
      <c r="C60" s="64" t="str">
        <f>'Pelan Pengambilan'!C61</f>
        <v/>
      </c>
      <c r="D60" s="83" t="str">
        <f>'Pelan Pengambilan'!D61</f>
        <v/>
      </c>
      <c r="E60" s="64" t="str">
        <f>'Pelan Pengambilan'!AF61</f>
        <v/>
      </c>
      <c r="F60" s="64"/>
    </row>
    <row r="61" ht="21.75" customHeight="1">
      <c r="A61" s="64" t="str">
        <f t="shared" si="1"/>
        <v/>
      </c>
      <c r="B61" s="83" t="str">
        <f>'Pelan Pengambilan'!B62</f>
        <v/>
      </c>
      <c r="C61" s="64" t="str">
        <f>'Pelan Pengambilan'!C62</f>
        <v/>
      </c>
      <c r="D61" s="83" t="str">
        <f>'Pelan Pengambilan'!D62</f>
        <v/>
      </c>
      <c r="E61" s="64" t="str">
        <f>'Pelan Pengambilan'!AF62</f>
        <v/>
      </c>
      <c r="F61" s="64"/>
    </row>
    <row r="62" ht="21.75" customHeight="1">
      <c r="A62" s="64" t="str">
        <f t="shared" si="1"/>
        <v/>
      </c>
      <c r="B62" s="83" t="str">
        <f>'Pelan Pengambilan'!B63</f>
        <v/>
      </c>
      <c r="C62" s="64" t="str">
        <f>'Pelan Pengambilan'!C63</f>
        <v/>
      </c>
      <c r="D62" s="83" t="str">
        <f>'Pelan Pengambilan'!D63</f>
        <v/>
      </c>
      <c r="E62" s="64" t="str">
        <f>'Pelan Pengambilan'!AF63</f>
        <v/>
      </c>
      <c r="F62" s="64"/>
    </row>
    <row r="63" ht="21.75" customHeight="1">
      <c r="A63" s="64" t="str">
        <f t="shared" si="1"/>
        <v/>
      </c>
      <c r="B63" s="83" t="str">
        <f>'Pelan Pengambilan'!B64</f>
        <v/>
      </c>
      <c r="C63" s="64" t="str">
        <f>'Pelan Pengambilan'!C64</f>
        <v/>
      </c>
      <c r="D63" s="83" t="str">
        <f>'Pelan Pengambilan'!D64</f>
        <v/>
      </c>
      <c r="E63" s="64" t="str">
        <f>'Pelan Pengambilan'!AF64</f>
        <v/>
      </c>
      <c r="F63" s="64"/>
    </row>
    <row r="64" ht="21.75" customHeight="1">
      <c r="A64" s="64" t="str">
        <f t="shared" si="1"/>
        <v/>
      </c>
      <c r="B64" s="83" t="str">
        <f>'Pelan Pengambilan'!B65</f>
        <v/>
      </c>
      <c r="C64" s="64" t="str">
        <f>'Pelan Pengambilan'!C65</f>
        <v/>
      </c>
      <c r="D64" s="83" t="str">
        <f>'Pelan Pengambilan'!D65</f>
        <v/>
      </c>
      <c r="E64" s="64" t="str">
        <f>'Pelan Pengambilan'!AF65</f>
        <v/>
      </c>
      <c r="F64" s="64"/>
    </row>
    <row r="65" ht="21.75" customHeight="1">
      <c r="A65" s="64" t="str">
        <f t="shared" si="1"/>
        <v/>
      </c>
      <c r="B65" s="83" t="str">
        <f>'Pelan Pengambilan'!B66</f>
        <v/>
      </c>
      <c r="C65" s="64" t="str">
        <f>'Pelan Pengambilan'!C66</f>
        <v/>
      </c>
      <c r="D65" s="83" t="str">
        <f>'Pelan Pengambilan'!D66</f>
        <v/>
      </c>
      <c r="E65" s="64" t="str">
        <f>'Pelan Pengambilan'!AF66</f>
        <v/>
      </c>
      <c r="F65" s="64"/>
    </row>
    <row r="66" ht="21.75" customHeight="1">
      <c r="A66" s="64" t="str">
        <f t="shared" si="1"/>
        <v/>
      </c>
      <c r="B66" s="83" t="str">
        <f>'Pelan Pengambilan'!B67</f>
        <v/>
      </c>
      <c r="C66" s="64" t="str">
        <f>'Pelan Pengambilan'!C67</f>
        <v/>
      </c>
      <c r="D66" s="83" t="str">
        <f>'Pelan Pengambilan'!D67</f>
        <v/>
      </c>
      <c r="E66" s="64" t="str">
        <f>'Pelan Pengambilan'!AF67</f>
        <v/>
      </c>
      <c r="F66" s="64"/>
    </row>
    <row r="67" ht="21.75" customHeight="1">
      <c r="A67" s="64" t="str">
        <f t="shared" si="1"/>
        <v/>
      </c>
      <c r="B67" s="83" t="str">
        <f>'Pelan Pengambilan'!B68</f>
        <v/>
      </c>
      <c r="C67" s="64" t="str">
        <f>'Pelan Pengambilan'!C68</f>
        <v/>
      </c>
      <c r="D67" s="83" t="str">
        <f>'Pelan Pengambilan'!D68</f>
        <v/>
      </c>
      <c r="E67" s="64" t="str">
        <f>'Pelan Pengambilan'!AF68</f>
        <v/>
      </c>
      <c r="F67" s="64"/>
    </row>
    <row r="68" ht="21.75" customHeight="1">
      <c r="A68" s="64" t="str">
        <f t="shared" si="1"/>
        <v/>
      </c>
      <c r="B68" s="83" t="str">
        <f>'Pelan Pengambilan'!B69</f>
        <v/>
      </c>
      <c r="C68" s="64" t="str">
        <f>'Pelan Pengambilan'!C69</f>
        <v/>
      </c>
      <c r="D68" s="83" t="str">
        <f>'Pelan Pengambilan'!D69</f>
        <v/>
      </c>
      <c r="E68" s="64" t="str">
        <f>'Pelan Pengambilan'!AF69</f>
        <v/>
      </c>
      <c r="F68" s="64"/>
    </row>
    <row r="69" ht="21.75" customHeight="1">
      <c r="A69" s="64" t="str">
        <f t="shared" si="1"/>
        <v/>
      </c>
      <c r="B69" s="83" t="str">
        <f>'Pelan Pengambilan'!B70</f>
        <v/>
      </c>
      <c r="C69" s="64" t="str">
        <f>'Pelan Pengambilan'!C70</f>
        <v/>
      </c>
      <c r="D69" s="83" t="str">
        <f>'Pelan Pengambilan'!D70</f>
        <v/>
      </c>
      <c r="E69" s="64" t="str">
        <f>'Pelan Pengambilan'!AF70</f>
        <v/>
      </c>
      <c r="F69" s="64"/>
    </row>
    <row r="70" ht="21.75" customHeight="1">
      <c r="A70" s="64" t="str">
        <f t="shared" si="1"/>
        <v/>
      </c>
      <c r="B70" s="83" t="str">
        <f>'Pelan Pengambilan'!B71</f>
        <v/>
      </c>
      <c r="C70" s="64" t="str">
        <f>'Pelan Pengambilan'!C71</f>
        <v/>
      </c>
      <c r="D70" s="83" t="str">
        <f>'Pelan Pengambilan'!D71</f>
        <v/>
      </c>
      <c r="E70" s="64" t="str">
        <f>'Pelan Pengambilan'!AF71</f>
        <v/>
      </c>
      <c r="F70" s="64"/>
    </row>
    <row r="71" ht="21.75" customHeight="1">
      <c r="A71" s="64" t="str">
        <f t="shared" si="1"/>
        <v/>
      </c>
      <c r="B71" s="83" t="str">
        <f>'Pelan Pengambilan'!B72</f>
        <v/>
      </c>
      <c r="C71" s="64" t="str">
        <f>'Pelan Pengambilan'!C72</f>
        <v/>
      </c>
      <c r="D71" s="83" t="str">
        <f>'Pelan Pengambilan'!D72</f>
        <v/>
      </c>
      <c r="E71" s="64" t="str">
        <f>'Pelan Pengambilan'!AF72</f>
        <v/>
      </c>
      <c r="F71" s="64"/>
    </row>
    <row r="72" ht="21.75" customHeight="1">
      <c r="A72" s="64" t="str">
        <f t="shared" si="1"/>
        <v/>
      </c>
      <c r="B72" s="83" t="str">
        <f>'Pelan Pengambilan'!B73</f>
        <v/>
      </c>
      <c r="C72" s="64" t="str">
        <f>'Pelan Pengambilan'!C73</f>
        <v/>
      </c>
      <c r="D72" s="83" t="str">
        <f>'Pelan Pengambilan'!D73</f>
        <v/>
      </c>
      <c r="E72" s="64" t="str">
        <f>'Pelan Pengambilan'!AF73</f>
        <v/>
      </c>
      <c r="F72" s="64"/>
    </row>
    <row r="73" ht="21.75" customHeight="1">
      <c r="A73" s="64" t="str">
        <f t="shared" si="1"/>
        <v/>
      </c>
      <c r="B73" s="83" t="str">
        <f>'Pelan Pengambilan'!B74</f>
        <v/>
      </c>
      <c r="C73" s="64" t="str">
        <f>'Pelan Pengambilan'!C74</f>
        <v/>
      </c>
      <c r="D73" s="83" t="str">
        <f>'Pelan Pengambilan'!D74</f>
        <v/>
      </c>
      <c r="E73" s="64" t="str">
        <f>'Pelan Pengambilan'!AF74</f>
        <v/>
      </c>
      <c r="F73" s="64"/>
    </row>
    <row r="74" ht="21.75" customHeight="1">
      <c r="A74" s="64" t="str">
        <f t="shared" si="1"/>
        <v/>
      </c>
      <c r="B74" s="83" t="str">
        <f>'Pelan Pengambilan'!B75</f>
        <v/>
      </c>
      <c r="C74" s="64" t="str">
        <f>'Pelan Pengambilan'!C75</f>
        <v/>
      </c>
      <c r="D74" s="83" t="str">
        <f>'Pelan Pengambilan'!D75</f>
        <v/>
      </c>
      <c r="E74" s="64" t="str">
        <f>'Pelan Pengambilan'!AF75</f>
        <v/>
      </c>
      <c r="F74" s="64"/>
    </row>
    <row r="75" ht="21.75" customHeight="1">
      <c r="A75" s="64" t="str">
        <f t="shared" si="1"/>
        <v/>
      </c>
      <c r="B75" s="83" t="str">
        <f>'Pelan Pengambilan'!B76</f>
        <v/>
      </c>
      <c r="C75" s="64" t="str">
        <f>'Pelan Pengambilan'!C76</f>
        <v/>
      </c>
      <c r="D75" s="83" t="str">
        <f>'Pelan Pengambilan'!D76</f>
        <v/>
      </c>
      <c r="E75" s="64" t="str">
        <f>'Pelan Pengambilan'!AF76</f>
        <v/>
      </c>
      <c r="F75" s="64"/>
    </row>
    <row r="76" ht="21.75" customHeight="1">
      <c r="A76" s="64" t="str">
        <f t="shared" si="1"/>
        <v/>
      </c>
      <c r="B76" s="83" t="str">
        <f>'Pelan Pengambilan'!B77</f>
        <v/>
      </c>
      <c r="C76" s="64" t="str">
        <f>'Pelan Pengambilan'!C77</f>
        <v/>
      </c>
      <c r="D76" s="83" t="str">
        <f>'Pelan Pengambilan'!D77</f>
        <v/>
      </c>
      <c r="E76" s="64" t="str">
        <f>'Pelan Pengambilan'!AF77</f>
        <v/>
      </c>
      <c r="F76" s="64"/>
    </row>
    <row r="77" ht="21.75" customHeight="1">
      <c r="A77" s="64" t="str">
        <f t="shared" si="1"/>
        <v/>
      </c>
      <c r="B77" s="83" t="str">
        <f>'Pelan Pengambilan'!B78</f>
        <v/>
      </c>
      <c r="C77" s="64" t="str">
        <f>'Pelan Pengambilan'!C78</f>
        <v/>
      </c>
      <c r="D77" s="83" t="str">
        <f>'Pelan Pengambilan'!D78</f>
        <v/>
      </c>
      <c r="E77" s="64" t="str">
        <f>'Pelan Pengambilan'!AF78</f>
        <v/>
      </c>
      <c r="F77" s="64"/>
    </row>
    <row r="78" ht="21.75" customHeight="1">
      <c r="A78" s="64" t="str">
        <f t="shared" si="1"/>
        <v/>
      </c>
      <c r="B78" s="83" t="str">
        <f>'Pelan Pengambilan'!B79</f>
        <v/>
      </c>
      <c r="C78" s="64" t="str">
        <f>'Pelan Pengambilan'!C79</f>
        <v/>
      </c>
      <c r="D78" s="83" t="str">
        <f>'Pelan Pengambilan'!D79</f>
        <v/>
      </c>
      <c r="E78" s="64" t="str">
        <f>'Pelan Pengambilan'!AF79</f>
        <v/>
      </c>
      <c r="F78" s="64"/>
    </row>
    <row r="79" ht="21.75" customHeight="1">
      <c r="A79" s="64" t="str">
        <f t="shared" si="1"/>
        <v/>
      </c>
      <c r="B79" s="83" t="str">
        <f>'Pelan Pengambilan'!B80</f>
        <v/>
      </c>
      <c r="C79" s="64" t="str">
        <f>'Pelan Pengambilan'!C80</f>
        <v/>
      </c>
      <c r="D79" s="83" t="str">
        <f>'Pelan Pengambilan'!D80</f>
        <v/>
      </c>
      <c r="E79" s="64" t="str">
        <f>'Pelan Pengambilan'!AF80</f>
        <v/>
      </c>
      <c r="F79" s="64"/>
    </row>
    <row r="80" ht="21.75" customHeight="1">
      <c r="A80" s="64" t="str">
        <f t="shared" si="1"/>
        <v/>
      </c>
      <c r="B80" s="83" t="str">
        <f>'Pelan Pengambilan'!B81</f>
        <v/>
      </c>
      <c r="C80" s="64" t="str">
        <f>'Pelan Pengambilan'!C81</f>
        <v/>
      </c>
      <c r="D80" s="83" t="str">
        <f>'Pelan Pengambilan'!D81</f>
        <v/>
      </c>
      <c r="E80" s="64" t="str">
        <f>'Pelan Pengambilan'!AF81</f>
        <v/>
      </c>
      <c r="F80" s="64"/>
    </row>
    <row r="81" ht="21.75" customHeight="1">
      <c r="A81" s="64" t="str">
        <f t="shared" si="1"/>
        <v/>
      </c>
      <c r="B81" s="83" t="str">
        <f>'Pelan Pengambilan'!B82</f>
        <v/>
      </c>
      <c r="C81" s="64" t="str">
        <f>'Pelan Pengambilan'!C82</f>
        <v/>
      </c>
      <c r="D81" s="83" t="str">
        <f>'Pelan Pengambilan'!D82</f>
        <v/>
      </c>
      <c r="E81" s="64" t="str">
        <f>'Pelan Pengambilan'!AF82</f>
        <v/>
      </c>
      <c r="F81" s="64"/>
    </row>
    <row r="82" ht="21.75" customHeight="1">
      <c r="A82" s="64" t="str">
        <f t="shared" si="1"/>
        <v/>
      </c>
      <c r="B82" s="83" t="str">
        <f>'Pelan Pengambilan'!B83</f>
        <v/>
      </c>
      <c r="C82" s="64" t="str">
        <f>'Pelan Pengambilan'!C83</f>
        <v/>
      </c>
      <c r="D82" s="83" t="str">
        <f>'Pelan Pengambilan'!D83</f>
        <v/>
      </c>
      <c r="E82" s="64" t="str">
        <f>'Pelan Pengambilan'!AF83</f>
        <v/>
      </c>
      <c r="F82" s="64"/>
    </row>
    <row r="83" ht="21.75" customHeight="1">
      <c r="A83" s="64" t="str">
        <f t="shared" si="1"/>
        <v/>
      </c>
      <c r="B83" s="83" t="str">
        <f>'Pelan Pengambilan'!B84</f>
        <v/>
      </c>
      <c r="C83" s="64" t="str">
        <f>'Pelan Pengambilan'!C84</f>
        <v/>
      </c>
      <c r="D83" s="83" t="str">
        <f>'Pelan Pengambilan'!D84</f>
        <v/>
      </c>
      <c r="E83" s="64" t="str">
        <f>'Pelan Pengambilan'!AF84</f>
        <v/>
      </c>
      <c r="F83" s="64"/>
    </row>
    <row r="84" ht="21.75" customHeight="1">
      <c r="A84" s="64" t="str">
        <f t="shared" si="1"/>
        <v/>
      </c>
      <c r="B84" s="83" t="str">
        <f>'Pelan Pengambilan'!B85</f>
        <v/>
      </c>
      <c r="C84" s="64" t="str">
        <f>'Pelan Pengambilan'!C85</f>
        <v/>
      </c>
      <c r="D84" s="83" t="str">
        <f>'Pelan Pengambilan'!D85</f>
        <v/>
      </c>
      <c r="E84" s="64" t="str">
        <f>'Pelan Pengambilan'!AF85</f>
        <v/>
      </c>
      <c r="F84" s="64"/>
    </row>
    <row r="85" ht="21.75" customHeight="1">
      <c r="A85" s="64" t="str">
        <f t="shared" si="1"/>
        <v/>
      </c>
      <c r="B85" s="83" t="str">
        <f>'Pelan Pengambilan'!B86</f>
        <v/>
      </c>
      <c r="C85" s="64" t="str">
        <f>'Pelan Pengambilan'!C86</f>
        <v/>
      </c>
      <c r="D85" s="83" t="str">
        <f>'Pelan Pengambilan'!D86</f>
        <v/>
      </c>
      <c r="E85" s="64" t="str">
        <f>'Pelan Pengambilan'!AF86</f>
        <v/>
      </c>
      <c r="F85" s="64"/>
    </row>
    <row r="86" ht="21.75" customHeight="1">
      <c r="A86" s="64" t="str">
        <f t="shared" si="1"/>
        <v/>
      </c>
      <c r="B86" s="83" t="str">
        <f>'Pelan Pengambilan'!B87</f>
        <v/>
      </c>
      <c r="C86" s="64" t="str">
        <f>'Pelan Pengambilan'!C87</f>
        <v/>
      </c>
      <c r="D86" s="83" t="str">
        <f>'Pelan Pengambilan'!D87</f>
        <v/>
      </c>
      <c r="E86" s="64" t="str">
        <f>'Pelan Pengambilan'!AF87</f>
        <v/>
      </c>
      <c r="F86" s="64"/>
    </row>
    <row r="87" ht="21.75" customHeight="1">
      <c r="A87" s="64" t="str">
        <f t="shared" si="1"/>
        <v/>
      </c>
      <c r="B87" s="83" t="str">
        <f>'Pelan Pengambilan'!B88</f>
        <v/>
      </c>
      <c r="C87" s="64" t="str">
        <f>'Pelan Pengambilan'!C88</f>
        <v/>
      </c>
      <c r="D87" s="83" t="str">
        <f>'Pelan Pengambilan'!D88</f>
        <v/>
      </c>
      <c r="E87" s="64" t="str">
        <f>'Pelan Pengambilan'!AF88</f>
        <v/>
      </c>
      <c r="F87" s="64"/>
    </row>
    <row r="88" ht="21.75" customHeight="1">
      <c r="A88" s="64" t="str">
        <f t="shared" si="1"/>
        <v/>
      </c>
      <c r="B88" s="83" t="str">
        <f>'Pelan Pengambilan'!B89</f>
        <v/>
      </c>
      <c r="C88" s="64" t="str">
        <f>'Pelan Pengambilan'!C89</f>
        <v/>
      </c>
      <c r="D88" s="83" t="str">
        <f>'Pelan Pengambilan'!D89</f>
        <v/>
      </c>
      <c r="E88" s="64" t="str">
        <f>'Pelan Pengambilan'!AF89</f>
        <v/>
      </c>
      <c r="F88" s="64"/>
    </row>
    <row r="89" ht="21.75" customHeight="1">
      <c r="A89" s="64" t="str">
        <f t="shared" si="1"/>
        <v/>
      </c>
      <c r="B89" s="83" t="str">
        <f>'Pelan Pengambilan'!B90</f>
        <v/>
      </c>
      <c r="C89" s="64" t="str">
        <f>'Pelan Pengambilan'!C90</f>
        <v/>
      </c>
      <c r="D89" s="83" t="str">
        <f>'Pelan Pengambilan'!D90</f>
        <v/>
      </c>
      <c r="E89" s="64" t="str">
        <f>'Pelan Pengambilan'!AF90</f>
        <v/>
      </c>
      <c r="F89" s="64"/>
    </row>
    <row r="90" ht="21.75" customHeight="1">
      <c r="A90" s="64" t="str">
        <f t="shared" si="1"/>
        <v/>
      </c>
      <c r="B90" s="83" t="str">
        <f>'Pelan Pengambilan'!B91</f>
        <v/>
      </c>
      <c r="C90" s="64" t="str">
        <f>'Pelan Pengambilan'!C91</f>
        <v/>
      </c>
      <c r="D90" s="83" t="str">
        <f>'Pelan Pengambilan'!D91</f>
        <v/>
      </c>
      <c r="E90" s="64" t="str">
        <f>'Pelan Pengambilan'!AF91</f>
        <v/>
      </c>
      <c r="F90" s="64"/>
    </row>
    <row r="91" ht="21.75" customHeight="1">
      <c r="A91" s="64" t="str">
        <f t="shared" si="1"/>
        <v/>
      </c>
      <c r="B91" s="83" t="str">
        <f>'Pelan Pengambilan'!B92</f>
        <v/>
      </c>
      <c r="C91" s="64" t="str">
        <f>'Pelan Pengambilan'!C92</f>
        <v/>
      </c>
      <c r="D91" s="83" t="str">
        <f>'Pelan Pengambilan'!D92</f>
        <v/>
      </c>
      <c r="E91" s="64" t="str">
        <f>'Pelan Pengambilan'!AF92</f>
        <v/>
      </c>
      <c r="F91" s="64"/>
    </row>
    <row r="92" ht="21.75" customHeight="1">
      <c r="A92" s="64" t="str">
        <f t="shared" si="1"/>
        <v/>
      </c>
      <c r="B92" s="83" t="str">
        <f>'Pelan Pengambilan'!B93</f>
        <v/>
      </c>
      <c r="C92" s="64" t="str">
        <f>'Pelan Pengambilan'!C93</f>
        <v/>
      </c>
      <c r="D92" s="83" t="str">
        <f>'Pelan Pengambilan'!D93</f>
        <v/>
      </c>
      <c r="E92" s="64" t="str">
        <f>'Pelan Pengambilan'!AF93</f>
        <v/>
      </c>
      <c r="F92" s="64"/>
    </row>
    <row r="93" ht="21.75" customHeight="1">
      <c r="A93" s="64" t="str">
        <f t="shared" si="1"/>
        <v/>
      </c>
      <c r="B93" s="83" t="str">
        <f>'Pelan Pengambilan'!B94</f>
        <v/>
      </c>
      <c r="C93" s="64" t="str">
        <f>'Pelan Pengambilan'!C94</f>
        <v/>
      </c>
      <c r="D93" s="83" t="str">
        <f>'Pelan Pengambilan'!D94</f>
        <v/>
      </c>
      <c r="E93" s="64" t="str">
        <f>'Pelan Pengambilan'!AF94</f>
        <v/>
      </c>
      <c r="F93" s="64"/>
    </row>
    <row r="94" ht="21.75" customHeight="1">
      <c r="A94" s="64" t="str">
        <f t="shared" si="1"/>
        <v/>
      </c>
      <c r="B94" s="83" t="str">
        <f>'Pelan Pengambilan'!B95</f>
        <v/>
      </c>
      <c r="C94" s="64" t="str">
        <f>'Pelan Pengambilan'!C95</f>
        <v/>
      </c>
      <c r="D94" s="83" t="str">
        <f>'Pelan Pengambilan'!D95</f>
        <v/>
      </c>
      <c r="E94" s="64" t="str">
        <f>'Pelan Pengambilan'!AF95</f>
        <v/>
      </c>
      <c r="F94" s="64"/>
    </row>
    <row r="95" ht="21.75" customHeight="1">
      <c r="A95" s="64" t="str">
        <f t="shared" si="1"/>
        <v/>
      </c>
      <c r="B95" s="83" t="str">
        <f>'Pelan Pengambilan'!B96</f>
        <v/>
      </c>
      <c r="C95" s="64" t="str">
        <f>'Pelan Pengambilan'!C96</f>
        <v/>
      </c>
      <c r="D95" s="83" t="str">
        <f>'Pelan Pengambilan'!D96</f>
        <v/>
      </c>
      <c r="E95" s="64" t="str">
        <f>'Pelan Pengambilan'!AF96</f>
        <v/>
      </c>
      <c r="F95" s="64"/>
    </row>
    <row r="96" ht="21.75" customHeight="1">
      <c r="A96" s="64" t="str">
        <f t="shared" si="1"/>
        <v/>
      </c>
      <c r="B96" s="83" t="str">
        <f>'Pelan Pengambilan'!B97</f>
        <v/>
      </c>
      <c r="C96" s="64" t="str">
        <f>'Pelan Pengambilan'!C97</f>
        <v/>
      </c>
      <c r="D96" s="83" t="str">
        <f>'Pelan Pengambilan'!D97</f>
        <v/>
      </c>
      <c r="E96" s="64" t="str">
        <f>'Pelan Pengambilan'!AF97</f>
        <v/>
      </c>
      <c r="F96" s="64"/>
    </row>
    <row r="97" ht="21.75" customHeight="1">
      <c r="A97" s="64" t="str">
        <f t="shared" si="1"/>
        <v/>
      </c>
      <c r="B97" s="83" t="str">
        <f>'Pelan Pengambilan'!B98</f>
        <v/>
      </c>
      <c r="C97" s="64" t="str">
        <f>'Pelan Pengambilan'!C98</f>
        <v/>
      </c>
      <c r="D97" s="83" t="str">
        <f>'Pelan Pengambilan'!D98</f>
        <v/>
      </c>
      <c r="E97" s="64" t="str">
        <f>'Pelan Pengambilan'!AF98</f>
        <v/>
      </c>
      <c r="F97" s="64"/>
    </row>
    <row r="98" ht="21.75" customHeight="1">
      <c r="A98" s="64" t="str">
        <f t="shared" si="1"/>
        <v/>
      </c>
      <c r="B98" s="83" t="str">
        <f>'Pelan Pengambilan'!B99</f>
        <v/>
      </c>
      <c r="C98" s="64" t="str">
        <f>'Pelan Pengambilan'!C99</f>
        <v/>
      </c>
      <c r="D98" s="83" t="str">
        <f>'Pelan Pengambilan'!D99</f>
        <v/>
      </c>
      <c r="E98" s="64" t="str">
        <f>'Pelan Pengambilan'!AF99</f>
        <v/>
      </c>
      <c r="F98" s="64"/>
    </row>
    <row r="99" ht="21.75" customHeight="1">
      <c r="A99" s="64" t="str">
        <f t="shared" si="1"/>
        <v/>
      </c>
      <c r="B99" s="83" t="str">
        <f>'Pelan Pengambilan'!B100</f>
        <v/>
      </c>
      <c r="C99" s="64" t="str">
        <f>'Pelan Pengambilan'!C100</f>
        <v/>
      </c>
      <c r="D99" s="83" t="str">
        <f>'Pelan Pengambilan'!D100</f>
        <v/>
      </c>
      <c r="E99" s="64" t="str">
        <f>'Pelan Pengambilan'!AF100</f>
        <v/>
      </c>
      <c r="F99" s="64"/>
    </row>
    <row r="100" ht="21.75" customHeight="1">
      <c r="A100" s="64" t="str">
        <f t="shared" si="1"/>
        <v/>
      </c>
      <c r="B100" s="83" t="str">
        <f>'Pelan Pengambilan'!B101</f>
        <v/>
      </c>
      <c r="C100" s="64" t="str">
        <f>'Pelan Pengambilan'!C101</f>
        <v/>
      </c>
      <c r="D100" s="83" t="str">
        <f>'Pelan Pengambilan'!D101</f>
        <v/>
      </c>
      <c r="E100" s="64" t="str">
        <f>'Pelan Pengambilan'!AF101</f>
        <v/>
      </c>
      <c r="F100" s="64"/>
    </row>
    <row r="101" ht="21.75" customHeight="1">
      <c r="A101" s="64" t="str">
        <f t="shared" si="1"/>
        <v/>
      </c>
      <c r="B101" s="83" t="str">
        <f>'Pelan Pengambilan'!B102</f>
        <v/>
      </c>
      <c r="C101" s="64" t="str">
        <f>'Pelan Pengambilan'!C102</f>
        <v/>
      </c>
      <c r="D101" s="83" t="str">
        <f>'Pelan Pengambilan'!D102</f>
        <v/>
      </c>
      <c r="E101" s="64" t="str">
        <f>'Pelan Pengambilan'!AF102</f>
        <v/>
      </c>
      <c r="F101" s="64"/>
    </row>
    <row r="102" ht="21.75" customHeight="1">
      <c r="A102" s="64" t="str">
        <f t="shared" si="1"/>
        <v/>
      </c>
      <c r="B102" s="83" t="str">
        <f>'Pelan Pengambilan'!B103</f>
        <v/>
      </c>
      <c r="C102" s="64" t="str">
        <f>'Pelan Pengambilan'!C103</f>
        <v/>
      </c>
      <c r="D102" s="83" t="str">
        <f>'Pelan Pengambilan'!D103</f>
        <v/>
      </c>
      <c r="E102" s="64" t="str">
        <f>'Pelan Pengambilan'!AF103</f>
        <v/>
      </c>
      <c r="F102" s="64"/>
    </row>
    <row r="103" ht="21.75" customHeight="1">
      <c r="A103" s="64" t="str">
        <f t="shared" si="1"/>
        <v/>
      </c>
      <c r="B103" s="83" t="str">
        <f>'Pelan Pengambilan'!B104</f>
        <v/>
      </c>
      <c r="C103" s="64" t="str">
        <f>'Pelan Pengambilan'!C104</f>
        <v/>
      </c>
      <c r="D103" s="83" t="str">
        <f>'Pelan Pengambilan'!D104</f>
        <v/>
      </c>
      <c r="E103" s="64" t="str">
        <f>'Pelan Pengambilan'!AF104</f>
        <v/>
      </c>
      <c r="F103" s="64"/>
    </row>
    <row r="104" ht="21.75" customHeight="1">
      <c r="A104" s="64" t="str">
        <f t="shared" si="1"/>
        <v/>
      </c>
      <c r="B104" s="83" t="str">
        <f>'Pelan Pengambilan'!B105</f>
        <v/>
      </c>
      <c r="C104" s="64" t="str">
        <f>'Pelan Pengambilan'!C105</f>
        <v/>
      </c>
      <c r="D104" s="83" t="str">
        <f>'Pelan Pengambilan'!D105</f>
        <v/>
      </c>
      <c r="E104" s="64" t="str">
        <f>'Pelan Pengambilan'!AF105</f>
        <v/>
      </c>
      <c r="F104" s="64"/>
    </row>
    <row r="105" ht="21.75" customHeight="1">
      <c r="A105" s="64" t="str">
        <f t="shared" si="1"/>
        <v/>
      </c>
      <c r="B105" s="83" t="str">
        <f>'Pelan Pengambilan'!B106</f>
        <v/>
      </c>
      <c r="C105" s="64" t="str">
        <f>'Pelan Pengambilan'!C106</f>
        <v/>
      </c>
      <c r="D105" s="83" t="str">
        <f>'Pelan Pengambilan'!D106</f>
        <v/>
      </c>
      <c r="E105" s="64" t="str">
        <f>'Pelan Pengambilan'!AF106</f>
        <v/>
      </c>
      <c r="F105" s="64"/>
    </row>
    <row r="106" ht="21.75" customHeight="1">
      <c r="A106" s="64" t="str">
        <f t="shared" si="1"/>
        <v/>
      </c>
      <c r="B106" s="83" t="str">
        <f>'Pelan Pengambilan'!B107</f>
        <v/>
      </c>
      <c r="C106" s="64" t="str">
        <f>'Pelan Pengambilan'!C107</f>
        <v/>
      </c>
      <c r="D106" s="83" t="str">
        <f>'Pelan Pengambilan'!D107</f>
        <v/>
      </c>
      <c r="E106" s="64" t="str">
        <f>'Pelan Pengambilan'!AF107</f>
        <v/>
      </c>
      <c r="F106" s="64"/>
    </row>
    <row r="107" ht="21.75" customHeight="1">
      <c r="A107" s="64" t="str">
        <f t="shared" si="1"/>
        <v/>
      </c>
      <c r="B107" s="83" t="str">
        <f>'Pelan Pengambilan'!B108</f>
        <v/>
      </c>
      <c r="C107" s="64" t="str">
        <f>'Pelan Pengambilan'!C108</f>
        <v/>
      </c>
      <c r="D107" s="83" t="str">
        <f>'Pelan Pengambilan'!D108</f>
        <v/>
      </c>
      <c r="E107" s="64" t="str">
        <f>'Pelan Pengambilan'!AF108</f>
        <v/>
      </c>
      <c r="F107" s="64"/>
    </row>
    <row r="108" ht="21.75" customHeight="1">
      <c r="A108" s="64" t="str">
        <f t="shared" si="1"/>
        <v/>
      </c>
      <c r="B108" s="83" t="str">
        <f>'Pelan Pengambilan'!B109</f>
        <v/>
      </c>
      <c r="C108" s="64" t="str">
        <f>'Pelan Pengambilan'!C109</f>
        <v/>
      </c>
      <c r="D108" s="83" t="str">
        <f>'Pelan Pengambilan'!D109</f>
        <v/>
      </c>
      <c r="E108" s="64" t="str">
        <f>'Pelan Pengambilan'!AF109</f>
        <v/>
      </c>
      <c r="F108" s="64"/>
    </row>
    <row r="109" ht="21.75" customHeight="1">
      <c r="A109" s="64" t="str">
        <f t="shared" si="1"/>
        <v/>
      </c>
      <c r="B109" s="83" t="str">
        <f>'Pelan Pengambilan'!B110</f>
        <v/>
      </c>
      <c r="C109" s="64" t="str">
        <f>'Pelan Pengambilan'!C110</f>
        <v/>
      </c>
      <c r="D109" s="83" t="str">
        <f>'Pelan Pengambilan'!D110</f>
        <v/>
      </c>
      <c r="E109" s="64" t="str">
        <f>'Pelan Pengambilan'!AF110</f>
        <v/>
      </c>
      <c r="F109" s="64"/>
    </row>
    <row r="110" ht="21.75" customHeight="1">
      <c r="A110" s="64" t="str">
        <f t="shared" si="1"/>
        <v/>
      </c>
      <c r="B110" s="83" t="str">
        <f>'Pelan Pengambilan'!B111</f>
        <v/>
      </c>
      <c r="C110" s="64" t="str">
        <f>'Pelan Pengambilan'!C111</f>
        <v/>
      </c>
      <c r="D110" s="83" t="str">
        <f>'Pelan Pengambilan'!D111</f>
        <v/>
      </c>
      <c r="E110" s="64" t="str">
        <f>'Pelan Pengambilan'!AF111</f>
        <v/>
      </c>
      <c r="F110" s="64"/>
    </row>
    <row r="111" ht="21.75" customHeight="1">
      <c r="A111" s="64" t="str">
        <f t="shared" si="1"/>
        <v/>
      </c>
      <c r="B111" s="83" t="str">
        <f>'Pelan Pengambilan'!B112</f>
        <v/>
      </c>
      <c r="C111" s="64" t="str">
        <f>'Pelan Pengambilan'!C112</f>
        <v/>
      </c>
      <c r="D111" s="83" t="str">
        <f>'Pelan Pengambilan'!D112</f>
        <v/>
      </c>
      <c r="E111" s="64" t="str">
        <f>'Pelan Pengambilan'!AF112</f>
        <v/>
      </c>
      <c r="F111" s="64"/>
    </row>
    <row r="112" ht="21.75" customHeight="1">
      <c r="A112" s="64" t="str">
        <f t="shared" si="1"/>
        <v/>
      </c>
      <c r="B112" s="83" t="str">
        <f>'Pelan Pengambilan'!B113</f>
        <v/>
      </c>
      <c r="C112" s="64" t="str">
        <f>'Pelan Pengambilan'!C113</f>
        <v/>
      </c>
      <c r="D112" s="83" t="str">
        <f>'Pelan Pengambilan'!D113</f>
        <v/>
      </c>
      <c r="E112" s="64" t="str">
        <f>'Pelan Pengambilan'!AF113</f>
        <v/>
      </c>
      <c r="F112" s="64"/>
    </row>
    <row r="113" ht="21.75" customHeight="1">
      <c r="A113" s="64" t="str">
        <f t="shared" si="1"/>
        <v/>
      </c>
      <c r="B113" s="83" t="str">
        <f>'Pelan Pengambilan'!B114</f>
        <v/>
      </c>
      <c r="C113" s="64" t="str">
        <f>'Pelan Pengambilan'!C114</f>
        <v/>
      </c>
      <c r="D113" s="83" t="str">
        <f>'Pelan Pengambilan'!D114</f>
        <v/>
      </c>
      <c r="E113" s="64" t="str">
        <f>'Pelan Pengambilan'!AF114</f>
        <v/>
      </c>
      <c r="F113" s="64"/>
    </row>
    <row r="114" ht="21.75" customHeight="1">
      <c r="A114" s="64" t="str">
        <f t="shared" si="1"/>
        <v/>
      </c>
      <c r="B114" s="83" t="str">
        <f>'Pelan Pengambilan'!B115</f>
        <v/>
      </c>
      <c r="C114" s="64" t="str">
        <f>'Pelan Pengambilan'!C115</f>
        <v/>
      </c>
      <c r="D114" s="83" t="str">
        <f>'Pelan Pengambilan'!D115</f>
        <v/>
      </c>
      <c r="E114" s="64" t="str">
        <f>'Pelan Pengambilan'!AF115</f>
        <v/>
      </c>
      <c r="F114" s="64"/>
    </row>
    <row r="115" ht="21.75" customHeight="1">
      <c r="A115" s="64" t="str">
        <f t="shared" si="1"/>
        <v/>
      </c>
      <c r="B115" s="83" t="str">
        <f>'Pelan Pengambilan'!B116</f>
        <v/>
      </c>
      <c r="C115" s="64" t="str">
        <f>'Pelan Pengambilan'!C116</f>
        <v/>
      </c>
      <c r="D115" s="83" t="str">
        <f>'Pelan Pengambilan'!D116</f>
        <v/>
      </c>
      <c r="E115" s="64" t="str">
        <f>'Pelan Pengambilan'!AF116</f>
        <v/>
      </c>
      <c r="F115" s="64"/>
    </row>
    <row r="116" ht="21.75" customHeight="1">
      <c r="A116" s="64" t="str">
        <f t="shared" si="1"/>
        <v/>
      </c>
      <c r="B116" s="83" t="str">
        <f>'Pelan Pengambilan'!B117</f>
        <v/>
      </c>
      <c r="C116" s="64" t="str">
        <f>'Pelan Pengambilan'!C117</f>
        <v/>
      </c>
      <c r="D116" s="83" t="str">
        <f>'Pelan Pengambilan'!D117</f>
        <v/>
      </c>
      <c r="E116" s="64" t="str">
        <f>'Pelan Pengambilan'!AF117</f>
        <v/>
      </c>
      <c r="F116" s="64"/>
    </row>
    <row r="117" ht="21.75" customHeight="1">
      <c r="A117" s="64" t="str">
        <f t="shared" si="1"/>
        <v/>
      </c>
      <c r="B117" s="83" t="str">
        <f>'Pelan Pengambilan'!B118</f>
        <v/>
      </c>
      <c r="C117" s="64" t="str">
        <f>'Pelan Pengambilan'!C118</f>
        <v/>
      </c>
      <c r="D117" s="83" t="str">
        <f>'Pelan Pengambilan'!D118</f>
        <v/>
      </c>
      <c r="E117" s="64" t="str">
        <f>'Pelan Pengambilan'!AF118</f>
        <v/>
      </c>
      <c r="F117" s="64"/>
    </row>
    <row r="118" ht="21.75" customHeight="1">
      <c r="A118" s="64" t="str">
        <f t="shared" si="1"/>
        <v/>
      </c>
      <c r="B118" s="83" t="str">
        <f>'Pelan Pengambilan'!B119</f>
        <v/>
      </c>
      <c r="C118" s="64" t="str">
        <f>'Pelan Pengambilan'!C119</f>
        <v/>
      </c>
      <c r="D118" s="83" t="str">
        <f>'Pelan Pengambilan'!D119</f>
        <v/>
      </c>
      <c r="E118" s="64" t="str">
        <f>'Pelan Pengambilan'!AF119</f>
        <v/>
      </c>
      <c r="F118" s="64"/>
    </row>
    <row r="119" ht="21.75" customHeight="1">
      <c r="A119" s="64" t="str">
        <f t="shared" si="1"/>
        <v/>
      </c>
      <c r="B119" s="83" t="str">
        <f>'Pelan Pengambilan'!B120</f>
        <v/>
      </c>
      <c r="C119" s="64" t="str">
        <f>'Pelan Pengambilan'!C120</f>
        <v/>
      </c>
      <c r="D119" s="83" t="str">
        <f>'Pelan Pengambilan'!D120</f>
        <v/>
      </c>
      <c r="E119" s="64" t="str">
        <f>'Pelan Pengambilan'!AF120</f>
        <v/>
      </c>
      <c r="F119" s="64"/>
    </row>
    <row r="120" ht="21.75" customHeight="1">
      <c r="A120" s="64" t="str">
        <f t="shared" si="1"/>
        <v/>
      </c>
      <c r="B120" s="83" t="str">
        <f>'Pelan Pengambilan'!B121</f>
        <v/>
      </c>
      <c r="C120" s="64" t="str">
        <f>'Pelan Pengambilan'!C121</f>
        <v/>
      </c>
      <c r="D120" s="83" t="str">
        <f>'Pelan Pengambilan'!D121</f>
        <v/>
      </c>
      <c r="E120" s="64" t="str">
        <f>'Pelan Pengambilan'!AF121</f>
        <v/>
      </c>
      <c r="F120" s="64"/>
    </row>
    <row r="121" ht="21.75" customHeight="1">
      <c r="A121" s="64" t="str">
        <f t="shared" si="1"/>
        <v/>
      </c>
      <c r="B121" s="83" t="str">
        <f>'Pelan Pengambilan'!B122</f>
        <v/>
      </c>
      <c r="C121" s="64" t="str">
        <f>'Pelan Pengambilan'!C122</f>
        <v/>
      </c>
      <c r="D121" s="83" t="str">
        <f>'Pelan Pengambilan'!D122</f>
        <v/>
      </c>
      <c r="E121" s="64" t="str">
        <f>'Pelan Pengambilan'!AF122</f>
        <v/>
      </c>
      <c r="F121" s="64"/>
    </row>
    <row r="122" ht="21.75" customHeight="1">
      <c r="A122" s="64" t="str">
        <f t="shared" si="1"/>
        <v/>
      </c>
      <c r="B122" s="83" t="str">
        <f>'Pelan Pengambilan'!B123</f>
        <v/>
      </c>
      <c r="C122" s="64" t="str">
        <f>'Pelan Pengambilan'!C123</f>
        <v/>
      </c>
      <c r="D122" s="83" t="str">
        <f>'Pelan Pengambilan'!D123</f>
        <v/>
      </c>
      <c r="E122" s="64" t="str">
        <f>'Pelan Pengambilan'!AF123</f>
        <v/>
      </c>
      <c r="F122" s="64"/>
    </row>
    <row r="123" ht="21.75" customHeight="1">
      <c r="A123" s="64" t="str">
        <f t="shared" si="1"/>
        <v/>
      </c>
      <c r="B123" s="83" t="str">
        <f>'Pelan Pengambilan'!B124</f>
        <v/>
      </c>
      <c r="C123" s="64" t="str">
        <f>'Pelan Pengambilan'!C124</f>
        <v/>
      </c>
      <c r="D123" s="83" t="str">
        <f>'Pelan Pengambilan'!D124</f>
        <v/>
      </c>
      <c r="E123" s="64" t="str">
        <f>'Pelan Pengambilan'!AF124</f>
        <v/>
      </c>
      <c r="F123" s="64"/>
    </row>
    <row r="124" ht="21.75" customHeight="1">
      <c r="A124" s="64" t="str">
        <f t="shared" si="1"/>
        <v/>
      </c>
      <c r="B124" s="83" t="str">
        <f>'Pelan Pengambilan'!B125</f>
        <v/>
      </c>
      <c r="C124" s="64" t="str">
        <f>'Pelan Pengambilan'!C125</f>
        <v/>
      </c>
      <c r="D124" s="83" t="str">
        <f>'Pelan Pengambilan'!D125</f>
        <v/>
      </c>
      <c r="E124" s="64" t="str">
        <f>'Pelan Pengambilan'!AF125</f>
        <v/>
      </c>
      <c r="F124" s="64"/>
    </row>
    <row r="125" ht="21.75" customHeight="1">
      <c r="A125" s="64" t="str">
        <f t="shared" si="1"/>
        <v/>
      </c>
      <c r="B125" s="83" t="str">
        <f>'Pelan Pengambilan'!B126</f>
        <v/>
      </c>
      <c r="C125" s="64" t="str">
        <f>'Pelan Pengambilan'!C126</f>
        <v/>
      </c>
      <c r="D125" s="83" t="str">
        <f>'Pelan Pengambilan'!D126</f>
        <v/>
      </c>
      <c r="E125" s="64" t="str">
        <f>'Pelan Pengambilan'!AF126</f>
        <v/>
      </c>
      <c r="F125" s="64"/>
    </row>
    <row r="126" ht="21.75" customHeight="1">
      <c r="A126" s="64" t="str">
        <f t="shared" si="1"/>
        <v/>
      </c>
      <c r="B126" s="83" t="str">
        <f>'Pelan Pengambilan'!B127</f>
        <v/>
      </c>
      <c r="C126" s="64" t="str">
        <f>'Pelan Pengambilan'!C127</f>
        <v/>
      </c>
      <c r="D126" s="83" t="str">
        <f>'Pelan Pengambilan'!D127</f>
        <v/>
      </c>
      <c r="E126" s="64" t="str">
        <f>'Pelan Pengambilan'!AF127</f>
        <v/>
      </c>
      <c r="F126" s="64"/>
    </row>
    <row r="127" ht="21.75" customHeight="1">
      <c r="A127" s="64" t="str">
        <f t="shared" si="1"/>
        <v/>
      </c>
      <c r="B127" s="83" t="str">
        <f>'Pelan Pengambilan'!B128</f>
        <v/>
      </c>
      <c r="C127" s="64" t="str">
        <f>'Pelan Pengambilan'!C128</f>
        <v/>
      </c>
      <c r="D127" s="83" t="str">
        <f>'Pelan Pengambilan'!D128</f>
        <v/>
      </c>
      <c r="E127" s="64" t="str">
        <f>'Pelan Pengambilan'!AF128</f>
        <v/>
      </c>
      <c r="F127" s="64"/>
    </row>
    <row r="128" ht="21.75" customHeight="1">
      <c r="A128" s="64" t="str">
        <f t="shared" si="1"/>
        <v/>
      </c>
      <c r="B128" s="83" t="str">
        <f>'Pelan Pengambilan'!B129</f>
        <v/>
      </c>
      <c r="C128" s="64" t="str">
        <f>'Pelan Pengambilan'!C129</f>
        <v/>
      </c>
      <c r="D128" s="83" t="str">
        <f>'Pelan Pengambilan'!D129</f>
        <v/>
      </c>
      <c r="E128" s="64" t="str">
        <f>'Pelan Pengambilan'!AF129</f>
        <v/>
      </c>
      <c r="F128" s="64"/>
    </row>
    <row r="129" ht="21.75" customHeight="1">
      <c r="A129" s="64" t="str">
        <f t="shared" si="1"/>
        <v/>
      </c>
      <c r="B129" s="83" t="str">
        <f>'Pelan Pengambilan'!B130</f>
        <v/>
      </c>
      <c r="C129" s="64" t="str">
        <f>'Pelan Pengambilan'!C130</f>
        <v/>
      </c>
      <c r="D129" s="83" t="str">
        <f>'Pelan Pengambilan'!D130</f>
        <v/>
      </c>
      <c r="E129" s="64" t="str">
        <f>'Pelan Pengambilan'!AF130</f>
        <v/>
      </c>
      <c r="F129" s="64"/>
    </row>
    <row r="130" ht="21.75" customHeight="1">
      <c r="A130" s="64" t="str">
        <f t="shared" si="1"/>
        <v/>
      </c>
      <c r="B130" s="83" t="str">
        <f>'Pelan Pengambilan'!B131</f>
        <v/>
      </c>
      <c r="C130" s="64" t="str">
        <f>'Pelan Pengambilan'!C131</f>
        <v/>
      </c>
      <c r="D130" s="83" t="str">
        <f>'Pelan Pengambilan'!D131</f>
        <v/>
      </c>
      <c r="E130" s="64" t="str">
        <f>'Pelan Pengambilan'!AF131</f>
        <v/>
      </c>
      <c r="F130" s="64"/>
    </row>
    <row r="131" ht="21.75" customHeight="1">
      <c r="A131" s="64" t="str">
        <f t="shared" si="1"/>
        <v/>
      </c>
      <c r="B131" s="83" t="str">
        <f>'Pelan Pengambilan'!B132</f>
        <v/>
      </c>
      <c r="C131" s="64" t="str">
        <f>'Pelan Pengambilan'!C132</f>
        <v/>
      </c>
      <c r="D131" s="83" t="str">
        <f>'Pelan Pengambilan'!D132</f>
        <v/>
      </c>
      <c r="E131" s="64" t="str">
        <f>'Pelan Pengambilan'!AF132</f>
        <v/>
      </c>
      <c r="F131" s="64"/>
    </row>
    <row r="132" ht="21.75" customHeight="1">
      <c r="A132" s="64" t="str">
        <f t="shared" si="1"/>
        <v/>
      </c>
      <c r="B132" s="83" t="str">
        <f>'Pelan Pengambilan'!B133</f>
        <v/>
      </c>
      <c r="C132" s="64" t="str">
        <f>'Pelan Pengambilan'!C133</f>
        <v/>
      </c>
      <c r="D132" s="83" t="str">
        <f>'Pelan Pengambilan'!D133</f>
        <v/>
      </c>
      <c r="E132" s="64" t="str">
        <f>'Pelan Pengambilan'!AF133</f>
        <v/>
      </c>
      <c r="F132" s="64"/>
    </row>
    <row r="133" ht="21.75" customHeight="1">
      <c r="A133" s="64" t="str">
        <f t="shared" si="1"/>
        <v/>
      </c>
      <c r="B133" s="83" t="str">
        <f>'Pelan Pengambilan'!B134</f>
        <v/>
      </c>
      <c r="C133" s="64" t="str">
        <f>'Pelan Pengambilan'!C134</f>
        <v/>
      </c>
      <c r="D133" s="83" t="str">
        <f>'Pelan Pengambilan'!D134</f>
        <v/>
      </c>
      <c r="E133" s="64" t="str">
        <f>'Pelan Pengambilan'!AF134</f>
        <v/>
      </c>
      <c r="F133" s="64"/>
    </row>
    <row r="134" ht="21.75" customHeight="1">
      <c r="A134" s="64" t="str">
        <f t="shared" si="1"/>
        <v/>
      </c>
      <c r="B134" s="83" t="str">
        <f>'Pelan Pengambilan'!B135</f>
        <v/>
      </c>
      <c r="C134" s="64" t="str">
        <f>'Pelan Pengambilan'!C135</f>
        <v/>
      </c>
      <c r="D134" s="83" t="str">
        <f>'Pelan Pengambilan'!D135</f>
        <v/>
      </c>
      <c r="E134" s="64" t="str">
        <f>'Pelan Pengambilan'!AF135</f>
        <v/>
      </c>
      <c r="F134" s="64"/>
    </row>
    <row r="135" ht="24.0" customHeight="1">
      <c r="A135" s="3"/>
      <c r="B135" s="3"/>
      <c r="C135" s="3"/>
      <c r="D135" s="3"/>
      <c r="E135" s="3"/>
      <c r="F135" s="3"/>
    </row>
    <row r="136" ht="24.0" customHeight="1">
      <c r="A136" s="3"/>
      <c r="B136" s="3"/>
      <c r="C136" s="3"/>
      <c r="D136" s="3"/>
      <c r="E136" s="3"/>
      <c r="F136" s="3"/>
    </row>
    <row r="137" ht="24.0" customHeight="1">
      <c r="A137" s="3"/>
      <c r="B137" s="3"/>
      <c r="C137" s="3"/>
      <c r="D137" s="3"/>
      <c r="E137" s="3"/>
      <c r="F137" s="3"/>
    </row>
    <row r="138" ht="24.0" customHeight="1">
      <c r="A138" s="3"/>
      <c r="B138" s="3"/>
      <c r="C138" s="3"/>
      <c r="D138" s="3"/>
      <c r="E138" s="3"/>
      <c r="F138" s="3"/>
    </row>
    <row r="139" ht="24.0" customHeight="1">
      <c r="A139" s="3"/>
      <c r="B139" s="3"/>
      <c r="C139" s="3"/>
      <c r="D139" s="3"/>
      <c r="E139" s="3"/>
      <c r="F139" s="3"/>
    </row>
    <row r="140" ht="14.25" customHeight="1">
      <c r="A140" s="3"/>
      <c r="B140" s="3"/>
      <c r="C140" s="3"/>
      <c r="D140" s="3"/>
      <c r="E140" s="3"/>
      <c r="F140" s="3"/>
    </row>
    <row r="141" ht="14.25" customHeight="1">
      <c r="A141" s="3"/>
      <c r="B141" s="3"/>
      <c r="C141" s="3"/>
      <c r="D141" s="3"/>
      <c r="E141" s="3"/>
      <c r="F141" s="3"/>
    </row>
    <row r="142" ht="14.25" customHeight="1">
      <c r="A142" s="3"/>
      <c r="B142" s="3"/>
      <c r="C142" s="3"/>
      <c r="D142" s="3"/>
      <c r="E142" s="3"/>
      <c r="F142" s="3"/>
    </row>
    <row r="143" ht="14.25" customHeight="1">
      <c r="A143" s="3"/>
      <c r="B143" s="3"/>
      <c r="C143" s="3"/>
      <c r="D143" s="3"/>
      <c r="E143" s="3"/>
      <c r="F143" s="3"/>
    </row>
    <row r="144" ht="14.25" customHeight="1">
      <c r="A144" s="3"/>
      <c r="B144" s="3"/>
      <c r="C144" s="3"/>
      <c r="D144" s="3"/>
      <c r="E144" s="3"/>
      <c r="F144" s="3"/>
    </row>
    <row r="145" ht="14.25" customHeight="1">
      <c r="A145" s="3"/>
      <c r="B145" s="3"/>
      <c r="C145" s="3"/>
      <c r="D145" s="3"/>
      <c r="E145" s="3"/>
      <c r="F145" s="3"/>
    </row>
    <row r="146" ht="14.25" customHeight="1">
      <c r="A146" s="3"/>
      <c r="B146" s="3"/>
      <c r="C146" s="3"/>
      <c r="D146" s="3"/>
      <c r="E146" s="3"/>
      <c r="F146" s="3"/>
    </row>
    <row r="147" ht="14.25" customHeight="1">
      <c r="A147" s="3"/>
      <c r="B147" s="3"/>
      <c r="C147" s="3"/>
      <c r="D147" s="3"/>
      <c r="E147" s="3"/>
      <c r="F147" s="3"/>
    </row>
    <row r="148" ht="14.25" customHeight="1">
      <c r="A148" s="3"/>
      <c r="B148" s="3"/>
      <c r="C148" s="3"/>
      <c r="D148" s="3"/>
      <c r="E148" s="3"/>
      <c r="F148" s="3"/>
    </row>
    <row r="149" ht="14.25" customHeight="1">
      <c r="A149" s="3"/>
      <c r="B149" s="3"/>
      <c r="C149" s="3"/>
      <c r="D149" s="3"/>
      <c r="E149" s="3"/>
      <c r="F149" s="3"/>
    </row>
    <row r="150" ht="14.25" customHeight="1">
      <c r="A150" s="3"/>
      <c r="B150" s="3"/>
      <c r="C150" s="3"/>
      <c r="D150" s="3"/>
      <c r="E150" s="3"/>
      <c r="F150" s="3"/>
    </row>
    <row r="151" ht="14.25" customHeight="1">
      <c r="A151" s="3"/>
      <c r="B151" s="3"/>
      <c r="C151" s="3"/>
      <c r="D151" s="3"/>
      <c r="E151" s="3"/>
      <c r="F151" s="3"/>
    </row>
    <row r="152" ht="14.25" customHeight="1">
      <c r="A152" s="3"/>
      <c r="B152" s="3"/>
      <c r="C152" s="3"/>
      <c r="D152" s="3"/>
      <c r="E152" s="3"/>
      <c r="F152" s="3"/>
    </row>
    <row r="153" ht="14.25" customHeight="1">
      <c r="A153" s="3"/>
      <c r="B153" s="3"/>
      <c r="C153" s="3"/>
      <c r="D153" s="3"/>
      <c r="E153" s="3"/>
      <c r="F153" s="3"/>
    </row>
    <row r="154" ht="14.25" customHeight="1">
      <c r="A154" s="3"/>
      <c r="B154" s="3"/>
      <c r="C154" s="3"/>
      <c r="D154" s="3"/>
      <c r="E154" s="3"/>
      <c r="F154" s="3"/>
    </row>
    <row r="155" ht="14.25" customHeight="1">
      <c r="A155" s="3"/>
      <c r="B155" s="3"/>
      <c r="C155" s="3"/>
      <c r="D155" s="3"/>
      <c r="E155" s="3"/>
      <c r="F155" s="3"/>
    </row>
    <row r="156" ht="14.25" customHeight="1">
      <c r="A156" s="3"/>
      <c r="B156" s="3"/>
      <c r="C156" s="3"/>
      <c r="D156" s="3"/>
      <c r="E156" s="3"/>
      <c r="F156" s="3"/>
    </row>
    <row r="157" ht="14.25" customHeight="1">
      <c r="A157" s="3"/>
      <c r="B157" s="3"/>
      <c r="C157" s="3"/>
      <c r="D157" s="3"/>
      <c r="E157" s="3"/>
      <c r="F157" s="3"/>
    </row>
    <row r="158" ht="14.25" customHeight="1">
      <c r="A158" s="3"/>
      <c r="B158" s="3"/>
      <c r="C158" s="3"/>
      <c r="D158" s="3"/>
      <c r="E158" s="3"/>
      <c r="F158" s="3"/>
    </row>
    <row r="159" ht="14.25" customHeight="1">
      <c r="A159" s="3"/>
      <c r="B159" s="3"/>
      <c r="C159" s="3"/>
      <c r="D159" s="3"/>
      <c r="E159" s="3"/>
      <c r="F159" s="3"/>
    </row>
    <row r="160" ht="14.25" customHeight="1">
      <c r="A160" s="3"/>
      <c r="B160" s="3"/>
      <c r="C160" s="3"/>
      <c r="D160" s="3"/>
      <c r="E160" s="3"/>
      <c r="F160" s="3"/>
    </row>
    <row r="161" ht="14.25" customHeight="1">
      <c r="A161" s="3"/>
      <c r="B161" s="3"/>
      <c r="C161" s="3"/>
      <c r="D161" s="3"/>
      <c r="E161" s="3"/>
      <c r="F161" s="3"/>
    </row>
    <row r="162" ht="14.25" customHeight="1">
      <c r="A162" s="3"/>
      <c r="B162" s="3"/>
      <c r="C162" s="3"/>
      <c r="D162" s="3"/>
      <c r="E162" s="3"/>
      <c r="F162" s="3"/>
    </row>
    <row r="163" ht="14.25" customHeight="1">
      <c r="A163" s="3"/>
      <c r="B163" s="3"/>
      <c r="C163" s="3"/>
      <c r="D163" s="3"/>
      <c r="E163" s="3"/>
      <c r="F163" s="3"/>
    </row>
    <row r="164" ht="14.25" customHeight="1">
      <c r="A164" s="3"/>
      <c r="B164" s="3"/>
      <c r="C164" s="3"/>
      <c r="D164" s="3"/>
      <c r="E164" s="3"/>
      <c r="F164" s="3"/>
    </row>
    <row r="165" ht="14.25" customHeight="1">
      <c r="A165" s="3"/>
      <c r="B165" s="3"/>
      <c r="C165" s="3"/>
      <c r="D165" s="3"/>
      <c r="E165" s="3"/>
      <c r="F165" s="3"/>
    </row>
    <row r="166" ht="14.25" customHeight="1">
      <c r="A166" s="3"/>
      <c r="B166" s="3"/>
      <c r="C166" s="3"/>
      <c r="D166" s="3"/>
      <c r="E166" s="3"/>
      <c r="F166" s="3"/>
    </row>
    <row r="167" ht="14.25" customHeight="1">
      <c r="A167" s="3"/>
      <c r="B167" s="3"/>
      <c r="C167" s="3"/>
      <c r="D167" s="3"/>
      <c r="E167" s="3"/>
      <c r="F167" s="3"/>
    </row>
    <row r="168" ht="14.25" customHeight="1">
      <c r="A168" s="3"/>
      <c r="B168" s="3"/>
      <c r="C168" s="3"/>
      <c r="D168" s="3"/>
      <c r="E168" s="3"/>
      <c r="F168" s="3"/>
    </row>
    <row r="169" ht="14.25" customHeight="1">
      <c r="A169" s="3"/>
      <c r="B169" s="3"/>
      <c r="C169" s="3"/>
      <c r="D169" s="3"/>
      <c r="E169" s="3"/>
      <c r="F169" s="3"/>
    </row>
    <row r="170" ht="14.25" customHeight="1">
      <c r="A170" s="3"/>
      <c r="B170" s="3"/>
      <c r="C170" s="3"/>
      <c r="D170" s="3"/>
      <c r="E170" s="3"/>
      <c r="F170" s="3"/>
    </row>
    <row r="171" ht="14.25" customHeight="1">
      <c r="A171" s="3"/>
      <c r="B171" s="3"/>
      <c r="C171" s="3"/>
      <c r="D171" s="3"/>
      <c r="E171" s="3"/>
      <c r="F171" s="3"/>
    </row>
    <row r="172" ht="14.25" customHeight="1">
      <c r="A172" s="3"/>
      <c r="B172" s="3"/>
      <c r="C172" s="3"/>
      <c r="D172" s="3"/>
      <c r="E172" s="3"/>
      <c r="F172" s="3"/>
    </row>
    <row r="173" ht="14.25" customHeight="1">
      <c r="A173" s="3"/>
      <c r="B173" s="3"/>
      <c r="C173" s="3"/>
      <c r="D173" s="3"/>
      <c r="E173" s="3"/>
      <c r="F173" s="3"/>
    </row>
    <row r="174" ht="14.25" customHeight="1">
      <c r="A174" s="3"/>
      <c r="B174" s="3"/>
      <c r="C174" s="3"/>
      <c r="D174" s="3"/>
      <c r="E174" s="3"/>
      <c r="F174" s="3"/>
    </row>
    <row r="175" ht="14.25" customHeight="1">
      <c r="A175" s="3"/>
      <c r="B175" s="3"/>
      <c r="C175" s="3"/>
      <c r="D175" s="3"/>
      <c r="E175" s="3"/>
      <c r="F175" s="3"/>
    </row>
    <row r="176" ht="14.25" customHeight="1">
      <c r="A176" s="3"/>
      <c r="B176" s="3"/>
      <c r="C176" s="3"/>
      <c r="D176" s="3"/>
      <c r="E176" s="3"/>
      <c r="F176" s="3"/>
    </row>
    <row r="177" ht="14.25" customHeight="1">
      <c r="A177" s="3"/>
      <c r="B177" s="3"/>
      <c r="C177" s="3"/>
      <c r="D177" s="3"/>
      <c r="E177" s="3"/>
      <c r="F177" s="3"/>
    </row>
    <row r="178" ht="14.25" customHeight="1">
      <c r="A178" s="3"/>
      <c r="B178" s="3"/>
      <c r="C178" s="3"/>
      <c r="D178" s="3"/>
      <c r="E178" s="3"/>
      <c r="F178" s="3"/>
    </row>
    <row r="179" ht="14.25" customHeight="1">
      <c r="A179" s="3"/>
      <c r="B179" s="3"/>
      <c r="C179" s="3"/>
      <c r="D179" s="3"/>
      <c r="E179" s="3"/>
      <c r="F179" s="3"/>
    </row>
    <row r="180" ht="14.25" customHeight="1">
      <c r="A180" s="3"/>
      <c r="B180" s="3"/>
      <c r="C180" s="3"/>
      <c r="D180" s="3"/>
      <c r="E180" s="3"/>
      <c r="F180" s="3"/>
    </row>
    <row r="181" ht="14.25" customHeight="1">
      <c r="A181" s="3"/>
      <c r="B181" s="3"/>
      <c r="C181" s="3"/>
      <c r="D181" s="3"/>
      <c r="E181" s="3"/>
      <c r="F181" s="3"/>
    </row>
    <row r="182" ht="14.25" customHeight="1">
      <c r="A182" s="3"/>
      <c r="B182" s="3"/>
      <c r="C182" s="3"/>
      <c r="D182" s="3"/>
      <c r="E182" s="3"/>
      <c r="F182" s="3"/>
    </row>
    <row r="183" ht="14.25" customHeight="1">
      <c r="A183" s="3"/>
      <c r="B183" s="3"/>
      <c r="C183" s="3"/>
      <c r="D183" s="3"/>
      <c r="E183" s="3"/>
      <c r="F183" s="3"/>
    </row>
    <row r="184" ht="14.25" customHeight="1">
      <c r="A184" s="3"/>
      <c r="B184" s="3"/>
      <c r="C184" s="3"/>
      <c r="D184" s="3"/>
      <c r="E184" s="3"/>
      <c r="F184" s="3"/>
    </row>
    <row r="185" ht="14.25" customHeight="1">
      <c r="A185" s="3"/>
      <c r="B185" s="3"/>
      <c r="C185" s="3"/>
      <c r="D185" s="3"/>
      <c r="E185" s="3"/>
      <c r="F185" s="3"/>
    </row>
    <row r="186" ht="14.25" customHeight="1">
      <c r="A186" s="3"/>
      <c r="B186" s="3"/>
      <c r="C186" s="3"/>
      <c r="D186" s="3"/>
      <c r="E186" s="3"/>
      <c r="F186" s="3"/>
    </row>
    <row r="187" ht="14.25" customHeight="1">
      <c r="A187" s="3"/>
      <c r="B187" s="3"/>
      <c r="C187" s="3"/>
      <c r="D187" s="3"/>
      <c r="E187" s="3"/>
      <c r="F187" s="3"/>
    </row>
    <row r="188" ht="14.25" customHeight="1">
      <c r="A188" s="3"/>
      <c r="B188" s="3"/>
      <c r="C188" s="3"/>
      <c r="D188" s="3"/>
      <c r="E188" s="3"/>
      <c r="F188" s="3"/>
    </row>
    <row r="189" ht="14.25" customHeight="1">
      <c r="A189" s="3"/>
      <c r="B189" s="3"/>
      <c r="C189" s="3"/>
      <c r="D189" s="3"/>
      <c r="E189" s="3"/>
      <c r="F189" s="3"/>
    </row>
    <row r="190" ht="14.25" customHeight="1">
      <c r="A190" s="3"/>
      <c r="B190" s="3"/>
      <c r="C190" s="3"/>
      <c r="D190" s="3"/>
      <c r="E190" s="3"/>
      <c r="F190" s="3"/>
    </row>
    <row r="191" ht="14.25" customHeight="1">
      <c r="A191" s="3"/>
      <c r="B191" s="3"/>
      <c r="C191" s="3"/>
      <c r="D191" s="3"/>
      <c r="E191" s="3"/>
      <c r="F191" s="3"/>
    </row>
    <row r="192" ht="14.25" customHeight="1">
      <c r="A192" s="3"/>
      <c r="B192" s="3"/>
      <c r="C192" s="3"/>
      <c r="D192" s="3"/>
      <c r="E192" s="3"/>
      <c r="F192" s="3"/>
    </row>
    <row r="193" ht="14.25" customHeight="1">
      <c r="A193" s="3"/>
      <c r="B193" s="3"/>
      <c r="C193" s="3"/>
      <c r="D193" s="3"/>
      <c r="E193" s="3"/>
      <c r="F193" s="3"/>
    </row>
    <row r="194" ht="14.25" customHeight="1">
      <c r="A194" s="3"/>
      <c r="B194" s="3"/>
      <c r="C194" s="3"/>
      <c r="D194" s="3"/>
      <c r="E194" s="3"/>
      <c r="F194" s="3"/>
    </row>
    <row r="195" ht="14.25" customHeight="1">
      <c r="A195" s="3"/>
      <c r="B195" s="3"/>
      <c r="C195" s="3"/>
      <c r="D195" s="3"/>
      <c r="E195" s="3"/>
      <c r="F195" s="3"/>
    </row>
    <row r="196" ht="14.25" customHeight="1">
      <c r="A196" s="3"/>
      <c r="B196" s="3"/>
      <c r="C196" s="3"/>
      <c r="D196" s="3"/>
      <c r="E196" s="3"/>
      <c r="F196" s="3"/>
    </row>
    <row r="197" ht="14.25" customHeight="1">
      <c r="A197" s="3"/>
      <c r="B197" s="3"/>
      <c r="C197" s="3"/>
      <c r="D197" s="3"/>
      <c r="E197" s="3"/>
      <c r="F197" s="3"/>
    </row>
    <row r="198" ht="14.25" customHeight="1">
      <c r="A198" s="3"/>
      <c r="B198" s="3"/>
      <c r="C198" s="3"/>
      <c r="D198" s="3"/>
      <c r="E198" s="3"/>
      <c r="F198" s="3"/>
    </row>
    <row r="199" ht="14.25" customHeight="1">
      <c r="A199" s="3"/>
      <c r="B199" s="3"/>
      <c r="C199" s="3"/>
      <c r="D199" s="3"/>
      <c r="E199" s="3"/>
      <c r="F199" s="3"/>
    </row>
    <row r="200" ht="14.25" customHeight="1">
      <c r="A200" s="3"/>
      <c r="B200" s="3"/>
      <c r="C200" s="3"/>
      <c r="D200" s="3"/>
      <c r="E200" s="3"/>
      <c r="F200" s="3"/>
    </row>
    <row r="201" ht="14.25" customHeight="1">
      <c r="A201" s="3"/>
      <c r="B201" s="3"/>
      <c r="C201" s="3"/>
      <c r="D201" s="3"/>
      <c r="E201" s="3"/>
      <c r="F201" s="3"/>
    </row>
    <row r="202" ht="14.25" customHeight="1">
      <c r="A202" s="3"/>
      <c r="B202" s="3"/>
      <c r="C202" s="3"/>
      <c r="D202" s="3"/>
      <c r="E202" s="3"/>
      <c r="F202" s="3"/>
    </row>
    <row r="203" ht="14.25" customHeight="1">
      <c r="A203" s="3"/>
      <c r="B203" s="3"/>
      <c r="C203" s="3"/>
      <c r="D203" s="3"/>
      <c r="E203" s="3"/>
      <c r="F203" s="3"/>
    </row>
    <row r="204" ht="14.25" customHeight="1">
      <c r="A204" s="3"/>
      <c r="B204" s="3"/>
      <c r="C204" s="3"/>
      <c r="D204" s="3"/>
      <c r="E204" s="3"/>
      <c r="F204" s="3"/>
    </row>
    <row r="205" ht="14.25" customHeight="1">
      <c r="A205" s="3"/>
      <c r="B205" s="3"/>
      <c r="C205" s="3"/>
      <c r="D205" s="3"/>
      <c r="E205" s="3"/>
      <c r="F205" s="3"/>
    </row>
    <row r="206" ht="14.25" customHeight="1">
      <c r="A206" s="3"/>
      <c r="B206" s="3"/>
      <c r="C206" s="3"/>
      <c r="D206" s="3"/>
      <c r="E206" s="3"/>
      <c r="F206" s="3"/>
    </row>
    <row r="207" ht="14.25" customHeight="1">
      <c r="A207" s="3"/>
      <c r="B207" s="3"/>
      <c r="C207" s="3"/>
      <c r="D207" s="3"/>
      <c r="E207" s="3"/>
      <c r="F207" s="3"/>
    </row>
    <row r="208" ht="14.25" customHeight="1">
      <c r="A208" s="3"/>
      <c r="B208" s="3"/>
      <c r="C208" s="3"/>
      <c r="D208" s="3"/>
      <c r="E208" s="3"/>
      <c r="F208" s="3"/>
    </row>
    <row r="209" ht="14.25" customHeight="1">
      <c r="A209" s="3"/>
      <c r="B209" s="3"/>
      <c r="C209" s="3"/>
      <c r="D209" s="3"/>
      <c r="E209" s="3"/>
      <c r="F209" s="3"/>
    </row>
    <row r="210" ht="14.25" customHeight="1">
      <c r="A210" s="3"/>
      <c r="B210" s="3"/>
      <c r="C210" s="3"/>
      <c r="D210" s="3"/>
      <c r="E210" s="3"/>
      <c r="F210" s="3"/>
    </row>
    <row r="211" ht="14.25" customHeight="1">
      <c r="A211" s="3"/>
      <c r="B211" s="3"/>
      <c r="C211" s="3"/>
      <c r="D211" s="3"/>
      <c r="E211" s="3"/>
      <c r="F211" s="3"/>
    </row>
    <row r="212" ht="14.25" customHeight="1">
      <c r="A212" s="3"/>
      <c r="B212" s="3"/>
      <c r="C212" s="3"/>
      <c r="D212" s="3"/>
      <c r="E212" s="3"/>
      <c r="F212" s="3"/>
    </row>
    <row r="213" ht="14.25" customHeight="1">
      <c r="A213" s="3"/>
      <c r="B213" s="3"/>
      <c r="C213" s="3"/>
      <c r="D213" s="3"/>
      <c r="E213" s="3"/>
      <c r="F213" s="3"/>
    </row>
    <row r="214" ht="14.25" customHeight="1">
      <c r="A214" s="3"/>
      <c r="B214" s="3"/>
      <c r="C214" s="3"/>
      <c r="D214" s="3"/>
      <c r="E214" s="3"/>
      <c r="F214" s="3"/>
    </row>
    <row r="215" ht="14.25" customHeight="1">
      <c r="A215" s="3"/>
      <c r="B215" s="3"/>
      <c r="C215" s="3"/>
      <c r="D215" s="3"/>
      <c r="E215" s="3"/>
      <c r="F215" s="3"/>
    </row>
    <row r="216" ht="14.25" customHeight="1">
      <c r="A216" s="3"/>
      <c r="B216" s="3"/>
      <c r="C216" s="3"/>
      <c r="D216" s="3"/>
      <c r="E216" s="3"/>
      <c r="F216" s="3"/>
    </row>
    <row r="217" ht="14.25" customHeight="1">
      <c r="A217" s="3"/>
      <c r="B217" s="3"/>
      <c r="C217" s="3"/>
      <c r="D217" s="3"/>
      <c r="E217" s="3"/>
      <c r="F217" s="3"/>
    </row>
    <row r="218" ht="14.25" customHeight="1">
      <c r="A218" s="3"/>
      <c r="B218" s="3"/>
      <c r="C218" s="3"/>
      <c r="D218" s="3"/>
      <c r="E218" s="3"/>
      <c r="F218" s="3"/>
    </row>
    <row r="219" ht="14.25" customHeight="1">
      <c r="A219" s="3"/>
      <c r="B219" s="3"/>
      <c r="C219" s="3"/>
      <c r="D219" s="3"/>
      <c r="E219" s="3"/>
      <c r="F219" s="3"/>
    </row>
    <row r="220" ht="14.25" customHeight="1">
      <c r="A220" s="3"/>
      <c r="B220" s="3"/>
      <c r="C220" s="3"/>
      <c r="D220" s="3"/>
      <c r="E220" s="3"/>
      <c r="F220" s="3"/>
    </row>
    <row r="221" ht="14.25" customHeight="1">
      <c r="A221" s="3"/>
      <c r="B221" s="3"/>
      <c r="C221" s="3"/>
      <c r="D221" s="3"/>
      <c r="E221" s="3"/>
      <c r="F221" s="3"/>
    </row>
    <row r="222" ht="14.25" customHeight="1">
      <c r="A222" s="3"/>
      <c r="B222" s="3"/>
      <c r="C222" s="3"/>
      <c r="D222" s="3"/>
      <c r="E222" s="3"/>
      <c r="F222" s="3"/>
    </row>
    <row r="223" ht="14.25" customHeight="1">
      <c r="A223" s="3"/>
      <c r="B223" s="3"/>
      <c r="C223" s="3"/>
      <c r="D223" s="3"/>
      <c r="E223" s="3"/>
      <c r="F223" s="3"/>
    </row>
    <row r="224" ht="14.25" customHeight="1">
      <c r="A224" s="3"/>
      <c r="B224" s="3"/>
      <c r="C224" s="3"/>
      <c r="D224" s="3"/>
      <c r="E224" s="3"/>
      <c r="F224" s="3"/>
    </row>
    <row r="225" ht="14.25" customHeight="1">
      <c r="A225" s="3"/>
      <c r="B225" s="3"/>
      <c r="C225" s="3"/>
      <c r="D225" s="3"/>
      <c r="E225" s="3"/>
      <c r="F225" s="3"/>
    </row>
    <row r="226" ht="14.25" customHeight="1">
      <c r="A226" s="3"/>
      <c r="B226" s="3"/>
      <c r="C226" s="3"/>
      <c r="D226" s="3"/>
      <c r="E226" s="3"/>
      <c r="F226" s="3"/>
    </row>
    <row r="227" ht="14.25" customHeight="1">
      <c r="A227" s="3"/>
      <c r="B227" s="3"/>
      <c r="C227" s="3"/>
      <c r="D227" s="3"/>
      <c r="E227" s="3"/>
      <c r="F227" s="3"/>
    </row>
    <row r="228" ht="14.25" customHeight="1">
      <c r="A228" s="3"/>
      <c r="B228" s="3"/>
      <c r="C228" s="3"/>
      <c r="D228" s="3"/>
      <c r="E228" s="3"/>
      <c r="F228" s="3"/>
    </row>
    <row r="229" ht="14.25" customHeight="1">
      <c r="A229" s="3"/>
      <c r="B229" s="3"/>
      <c r="C229" s="3"/>
      <c r="D229" s="3"/>
      <c r="E229" s="3"/>
      <c r="F229" s="3"/>
    </row>
    <row r="230" ht="14.25" customHeight="1">
      <c r="A230" s="3"/>
      <c r="B230" s="3"/>
      <c r="C230" s="3"/>
      <c r="D230" s="3"/>
      <c r="E230" s="3"/>
      <c r="F230" s="3"/>
    </row>
    <row r="231" ht="14.25" customHeight="1">
      <c r="A231" s="3"/>
      <c r="B231" s="3"/>
      <c r="C231" s="3"/>
      <c r="D231" s="3"/>
      <c r="E231" s="3"/>
      <c r="F231" s="3"/>
    </row>
    <row r="232" ht="14.25" customHeight="1">
      <c r="A232" s="3"/>
      <c r="B232" s="3"/>
      <c r="C232" s="3"/>
      <c r="D232" s="3"/>
      <c r="E232" s="3"/>
      <c r="F232" s="3"/>
    </row>
    <row r="233" ht="14.25" customHeight="1">
      <c r="A233" s="3"/>
      <c r="B233" s="3"/>
      <c r="C233" s="3"/>
      <c r="D233" s="3"/>
      <c r="E233" s="3"/>
      <c r="F233" s="3"/>
    </row>
    <row r="234" ht="14.25" customHeight="1">
      <c r="A234" s="3"/>
      <c r="B234" s="3"/>
      <c r="C234" s="3"/>
      <c r="D234" s="3"/>
      <c r="E234" s="3"/>
      <c r="F234" s="3"/>
    </row>
    <row r="235" ht="14.25" customHeight="1">
      <c r="A235" s="3"/>
      <c r="B235" s="3"/>
      <c r="C235" s="3"/>
      <c r="D235" s="3"/>
      <c r="E235" s="3"/>
      <c r="F235" s="3"/>
    </row>
    <row r="236" ht="14.25" customHeight="1">
      <c r="A236" s="3"/>
      <c r="B236" s="3"/>
      <c r="C236" s="3"/>
      <c r="D236" s="3"/>
      <c r="E236" s="3"/>
      <c r="F236" s="3"/>
    </row>
    <row r="237" ht="14.25" customHeight="1">
      <c r="A237" s="3"/>
      <c r="B237" s="3"/>
      <c r="C237" s="3"/>
      <c r="D237" s="3"/>
      <c r="E237" s="3"/>
      <c r="F237" s="3"/>
    </row>
    <row r="238" ht="14.25" customHeight="1">
      <c r="A238" s="3"/>
      <c r="B238" s="3"/>
      <c r="C238" s="3"/>
      <c r="D238" s="3"/>
      <c r="E238" s="3"/>
      <c r="F238" s="3"/>
    </row>
    <row r="239" ht="14.25" customHeight="1">
      <c r="A239" s="3"/>
      <c r="B239" s="3"/>
      <c r="C239" s="3"/>
      <c r="D239" s="3"/>
      <c r="E239" s="3"/>
      <c r="F239" s="3"/>
    </row>
    <row r="240" ht="14.25" customHeight="1">
      <c r="A240" s="3"/>
      <c r="B240" s="3"/>
      <c r="C240" s="3"/>
      <c r="D240" s="3"/>
      <c r="E240" s="3"/>
      <c r="F240" s="3"/>
    </row>
    <row r="241" ht="14.25" customHeight="1">
      <c r="A241" s="3"/>
      <c r="B241" s="3"/>
      <c r="C241" s="3"/>
      <c r="D241" s="3"/>
      <c r="E241" s="3"/>
      <c r="F241" s="3"/>
    </row>
    <row r="242" ht="14.25" customHeight="1">
      <c r="A242" s="3"/>
      <c r="B242" s="3"/>
      <c r="C242" s="3"/>
      <c r="D242" s="3"/>
      <c r="E242" s="3"/>
      <c r="F242" s="3"/>
    </row>
    <row r="243" ht="14.25" customHeight="1">
      <c r="A243" s="3"/>
      <c r="B243" s="3"/>
      <c r="C243" s="3"/>
      <c r="D243" s="3"/>
      <c r="E243" s="3"/>
      <c r="F243" s="3"/>
    </row>
    <row r="244" ht="14.25" customHeight="1">
      <c r="A244" s="3"/>
      <c r="B244" s="3"/>
      <c r="C244" s="3"/>
      <c r="D244" s="3"/>
      <c r="E244" s="3"/>
      <c r="F244" s="3"/>
    </row>
    <row r="245" ht="14.25" customHeight="1">
      <c r="A245" s="3"/>
      <c r="B245" s="3"/>
      <c r="C245" s="3"/>
      <c r="D245" s="3"/>
      <c r="E245" s="3"/>
      <c r="F245" s="3"/>
    </row>
    <row r="246" ht="14.25" customHeight="1">
      <c r="A246" s="3"/>
      <c r="B246" s="3"/>
      <c r="C246" s="3"/>
      <c r="D246" s="3"/>
      <c r="E246" s="3"/>
      <c r="F246" s="3"/>
    </row>
    <row r="247" ht="14.25" customHeight="1">
      <c r="A247" s="3"/>
      <c r="B247" s="3"/>
      <c r="C247" s="3"/>
      <c r="D247" s="3"/>
      <c r="E247" s="3"/>
      <c r="F247" s="3"/>
    </row>
    <row r="248" ht="14.25" customHeight="1">
      <c r="A248" s="3"/>
      <c r="B248" s="3"/>
      <c r="C248" s="3"/>
      <c r="D248" s="3"/>
      <c r="E248" s="3"/>
      <c r="F248" s="3"/>
    </row>
    <row r="249" ht="14.25" customHeight="1">
      <c r="A249" s="3"/>
      <c r="B249" s="3"/>
      <c r="C249" s="3"/>
      <c r="D249" s="3"/>
      <c r="E249" s="3"/>
      <c r="F249" s="3"/>
    </row>
    <row r="250" ht="14.25" customHeight="1">
      <c r="A250" s="3"/>
      <c r="B250" s="3"/>
      <c r="C250" s="3"/>
      <c r="D250" s="3"/>
      <c r="E250" s="3"/>
      <c r="F250" s="3"/>
    </row>
    <row r="251" ht="14.25" customHeight="1">
      <c r="A251" s="3"/>
      <c r="B251" s="3"/>
      <c r="C251" s="3"/>
      <c r="D251" s="3"/>
      <c r="E251" s="3"/>
      <c r="F251" s="3"/>
    </row>
    <row r="252" ht="14.25" customHeight="1">
      <c r="A252" s="3"/>
      <c r="B252" s="3"/>
      <c r="C252" s="3"/>
      <c r="D252" s="3"/>
      <c r="E252" s="3"/>
      <c r="F252" s="3"/>
    </row>
    <row r="253" ht="14.25" customHeight="1">
      <c r="A253" s="3"/>
      <c r="B253" s="3"/>
      <c r="C253" s="3"/>
      <c r="D253" s="3"/>
      <c r="E253" s="3"/>
      <c r="F253" s="3"/>
    </row>
    <row r="254" ht="14.25" customHeight="1">
      <c r="A254" s="3"/>
      <c r="B254" s="3"/>
      <c r="C254" s="3"/>
      <c r="D254" s="3"/>
      <c r="E254" s="3"/>
      <c r="F254" s="3"/>
    </row>
    <row r="255" ht="14.25" customHeight="1">
      <c r="A255" s="3"/>
      <c r="B255" s="3"/>
      <c r="C255" s="3"/>
      <c r="D255" s="3"/>
      <c r="E255" s="3"/>
      <c r="F255" s="3"/>
    </row>
    <row r="256" ht="14.25" customHeight="1">
      <c r="A256" s="3"/>
      <c r="B256" s="3"/>
      <c r="C256" s="3"/>
      <c r="D256" s="3"/>
      <c r="E256" s="3"/>
      <c r="F256" s="3"/>
    </row>
    <row r="257" ht="14.25" customHeight="1">
      <c r="A257" s="3"/>
      <c r="B257" s="3"/>
      <c r="C257" s="3"/>
      <c r="D257" s="3"/>
      <c r="E257" s="3"/>
      <c r="F257" s="3"/>
    </row>
    <row r="258" ht="14.25" customHeight="1">
      <c r="A258" s="3"/>
      <c r="B258" s="3"/>
      <c r="C258" s="3"/>
      <c r="D258" s="3"/>
      <c r="E258" s="3"/>
      <c r="F258" s="3"/>
    </row>
    <row r="259" ht="14.25" customHeight="1">
      <c r="A259" s="3"/>
      <c r="B259" s="3"/>
      <c r="C259" s="3"/>
      <c r="D259" s="3"/>
      <c r="E259" s="3"/>
      <c r="F259" s="3"/>
    </row>
    <row r="260" ht="14.25" customHeight="1">
      <c r="A260" s="3"/>
      <c r="B260" s="3"/>
      <c r="C260" s="3"/>
      <c r="D260" s="3"/>
      <c r="E260" s="3"/>
      <c r="F260" s="3"/>
    </row>
    <row r="261" ht="14.25" customHeight="1">
      <c r="A261" s="3"/>
      <c r="B261" s="3"/>
      <c r="C261" s="3"/>
      <c r="D261" s="3"/>
      <c r="E261" s="3"/>
      <c r="F261" s="3"/>
    </row>
    <row r="262" ht="14.25" customHeight="1">
      <c r="A262" s="3"/>
      <c r="B262" s="3"/>
      <c r="C262" s="3"/>
      <c r="D262" s="3"/>
      <c r="E262" s="3"/>
      <c r="F262" s="3"/>
    </row>
    <row r="263" ht="14.25" customHeight="1">
      <c r="A263" s="3"/>
      <c r="B263" s="3"/>
      <c r="C263" s="3"/>
      <c r="D263" s="3"/>
      <c r="E263" s="3"/>
      <c r="F263" s="3"/>
    </row>
    <row r="264" ht="14.25" customHeight="1">
      <c r="A264" s="3"/>
      <c r="B264" s="3"/>
      <c r="C264" s="3"/>
      <c r="D264" s="3"/>
      <c r="E264" s="3"/>
      <c r="F264" s="3"/>
    </row>
    <row r="265" ht="14.25" customHeight="1">
      <c r="A265" s="3"/>
      <c r="B265" s="3"/>
      <c r="C265" s="3"/>
      <c r="D265" s="3"/>
      <c r="E265" s="3"/>
      <c r="F265" s="3"/>
    </row>
    <row r="266" ht="14.25" customHeight="1">
      <c r="A266" s="3"/>
      <c r="B266" s="3"/>
      <c r="C266" s="3"/>
      <c r="D266" s="3"/>
      <c r="E266" s="3"/>
      <c r="F266" s="3"/>
    </row>
    <row r="267" ht="14.25" customHeight="1">
      <c r="A267" s="3"/>
      <c r="B267" s="3"/>
      <c r="C267" s="3"/>
      <c r="D267" s="3"/>
      <c r="E267" s="3"/>
      <c r="F267" s="3"/>
    </row>
    <row r="268" ht="14.25" customHeight="1">
      <c r="A268" s="3"/>
      <c r="B268" s="3"/>
      <c r="C268" s="3"/>
      <c r="D268" s="3"/>
      <c r="E268" s="3"/>
      <c r="F268" s="3"/>
    </row>
    <row r="269" ht="14.25" customHeight="1">
      <c r="A269" s="3"/>
      <c r="B269" s="3"/>
      <c r="C269" s="3"/>
      <c r="D269" s="3"/>
      <c r="E269" s="3"/>
      <c r="F269" s="3"/>
    </row>
    <row r="270" ht="14.25" customHeight="1">
      <c r="A270" s="3"/>
      <c r="B270" s="3"/>
      <c r="C270" s="3"/>
      <c r="D270" s="3"/>
      <c r="E270" s="3"/>
      <c r="F270" s="3"/>
    </row>
    <row r="271" ht="14.25" customHeight="1">
      <c r="A271" s="3"/>
      <c r="B271" s="3"/>
      <c r="C271" s="3"/>
      <c r="D271" s="3"/>
      <c r="E271" s="3"/>
      <c r="F271" s="3"/>
    </row>
    <row r="272" ht="14.25" customHeight="1">
      <c r="A272" s="3"/>
      <c r="B272" s="3"/>
      <c r="C272" s="3"/>
      <c r="D272" s="3"/>
      <c r="E272" s="3"/>
      <c r="F272" s="3"/>
    </row>
    <row r="273" ht="14.25" customHeight="1">
      <c r="A273" s="3"/>
      <c r="B273" s="3"/>
      <c r="C273" s="3"/>
      <c r="D273" s="3"/>
      <c r="E273" s="3"/>
      <c r="F273" s="3"/>
    </row>
    <row r="274" ht="14.25" customHeight="1">
      <c r="A274" s="3"/>
      <c r="B274" s="3"/>
      <c r="C274" s="3"/>
      <c r="D274" s="3"/>
      <c r="E274" s="3"/>
      <c r="F274" s="3"/>
    </row>
    <row r="275" ht="14.25" customHeight="1">
      <c r="A275" s="3"/>
      <c r="B275" s="3"/>
      <c r="C275" s="3"/>
      <c r="D275" s="3"/>
      <c r="E275" s="3"/>
      <c r="F275" s="3"/>
    </row>
    <row r="276" ht="14.25" customHeight="1">
      <c r="A276" s="3"/>
      <c r="B276" s="3"/>
      <c r="C276" s="3"/>
      <c r="D276" s="3"/>
      <c r="E276" s="3"/>
      <c r="F276" s="3"/>
    </row>
    <row r="277" ht="14.25" customHeight="1">
      <c r="A277" s="3"/>
      <c r="B277" s="3"/>
      <c r="C277" s="3"/>
      <c r="D277" s="3"/>
      <c r="E277" s="3"/>
      <c r="F277" s="3"/>
    </row>
    <row r="278" ht="14.25" customHeight="1">
      <c r="A278" s="3"/>
      <c r="B278" s="3"/>
      <c r="C278" s="3"/>
      <c r="D278" s="3"/>
      <c r="E278" s="3"/>
      <c r="F278" s="3"/>
    </row>
    <row r="279" ht="14.25" customHeight="1">
      <c r="A279" s="3"/>
      <c r="B279" s="3"/>
      <c r="C279" s="3"/>
      <c r="D279" s="3"/>
      <c r="E279" s="3"/>
      <c r="F279" s="3"/>
    </row>
    <row r="280" ht="14.25" customHeight="1">
      <c r="A280" s="3"/>
      <c r="B280" s="3"/>
      <c r="C280" s="3"/>
      <c r="D280" s="3"/>
      <c r="E280" s="3"/>
      <c r="F280" s="3"/>
    </row>
    <row r="281" ht="14.25" customHeight="1">
      <c r="A281" s="3"/>
      <c r="B281" s="3"/>
      <c r="C281" s="3"/>
      <c r="D281" s="3"/>
      <c r="E281" s="3"/>
      <c r="F281" s="3"/>
    </row>
    <row r="282" ht="14.25" customHeight="1">
      <c r="A282" s="3"/>
      <c r="B282" s="3"/>
      <c r="C282" s="3"/>
      <c r="D282" s="3"/>
      <c r="E282" s="3"/>
      <c r="F282" s="3"/>
    </row>
    <row r="283" ht="14.25" customHeight="1">
      <c r="A283" s="3"/>
      <c r="B283" s="3"/>
      <c r="C283" s="3"/>
      <c r="D283" s="3"/>
      <c r="E283" s="3"/>
      <c r="F283" s="3"/>
    </row>
    <row r="284" ht="14.25" customHeight="1">
      <c r="A284" s="3"/>
      <c r="B284" s="3"/>
      <c r="C284" s="3"/>
      <c r="D284" s="3"/>
      <c r="E284" s="3"/>
      <c r="F284" s="3"/>
    </row>
    <row r="285" ht="14.25" customHeight="1">
      <c r="A285" s="3"/>
      <c r="B285" s="3"/>
      <c r="C285" s="3"/>
      <c r="D285" s="3"/>
      <c r="E285" s="3"/>
      <c r="F285" s="3"/>
    </row>
    <row r="286" ht="14.25" customHeight="1">
      <c r="A286" s="3"/>
      <c r="B286" s="3"/>
      <c r="C286" s="3"/>
      <c r="D286" s="3"/>
      <c r="E286" s="3"/>
      <c r="F286" s="3"/>
    </row>
    <row r="287" ht="14.25" customHeight="1">
      <c r="A287" s="3"/>
      <c r="B287" s="3"/>
      <c r="C287" s="3"/>
      <c r="D287" s="3"/>
      <c r="E287" s="3"/>
      <c r="F287" s="3"/>
    </row>
    <row r="288" ht="14.25" customHeight="1">
      <c r="A288" s="3"/>
      <c r="B288" s="3"/>
      <c r="C288" s="3"/>
      <c r="D288" s="3"/>
      <c r="E288" s="3"/>
      <c r="F288" s="3"/>
    </row>
    <row r="289" ht="14.25" customHeight="1">
      <c r="A289" s="3"/>
      <c r="B289" s="3"/>
      <c r="C289" s="3"/>
      <c r="D289" s="3"/>
      <c r="E289" s="3"/>
      <c r="F289" s="3"/>
    </row>
    <row r="290" ht="14.25" customHeight="1">
      <c r="A290" s="3"/>
      <c r="B290" s="3"/>
      <c r="C290" s="3"/>
      <c r="D290" s="3"/>
      <c r="E290" s="3"/>
      <c r="F290" s="3"/>
    </row>
    <row r="291" ht="14.25" customHeight="1">
      <c r="A291" s="3"/>
      <c r="B291" s="3"/>
      <c r="C291" s="3"/>
      <c r="D291" s="3"/>
      <c r="E291" s="3"/>
      <c r="F291" s="3"/>
    </row>
    <row r="292" ht="14.25" customHeight="1">
      <c r="A292" s="3"/>
      <c r="B292" s="3"/>
      <c r="C292" s="3"/>
      <c r="D292" s="3"/>
      <c r="E292" s="3"/>
      <c r="F292" s="3"/>
    </row>
    <row r="293" ht="14.25" customHeight="1">
      <c r="A293" s="3"/>
      <c r="B293" s="3"/>
      <c r="C293" s="3"/>
      <c r="D293" s="3"/>
      <c r="E293" s="3"/>
      <c r="F293" s="3"/>
    </row>
    <row r="294" ht="14.25" customHeight="1">
      <c r="A294" s="3"/>
      <c r="B294" s="3"/>
      <c r="C294" s="3"/>
      <c r="D294" s="3"/>
      <c r="E294" s="3"/>
      <c r="F294" s="3"/>
    </row>
    <row r="295" ht="14.25" customHeight="1">
      <c r="A295" s="3"/>
      <c r="B295" s="3"/>
      <c r="C295" s="3"/>
      <c r="D295" s="3"/>
      <c r="E295" s="3"/>
      <c r="F295" s="3"/>
    </row>
    <row r="296" ht="14.25" customHeight="1">
      <c r="A296" s="3"/>
      <c r="B296" s="3"/>
      <c r="C296" s="3"/>
      <c r="D296" s="3"/>
      <c r="E296" s="3"/>
      <c r="F296" s="3"/>
    </row>
    <row r="297" ht="14.25" customHeight="1">
      <c r="A297" s="3"/>
      <c r="B297" s="3"/>
      <c r="C297" s="3"/>
      <c r="D297" s="3"/>
      <c r="E297" s="3"/>
      <c r="F297" s="3"/>
    </row>
    <row r="298" ht="14.25" customHeight="1">
      <c r="A298" s="3"/>
      <c r="B298" s="3"/>
      <c r="C298" s="3"/>
      <c r="D298" s="3"/>
      <c r="E298" s="3"/>
      <c r="F298" s="3"/>
    </row>
    <row r="299" ht="14.25" customHeight="1">
      <c r="A299" s="3"/>
      <c r="B299" s="3"/>
      <c r="C299" s="3"/>
      <c r="D299" s="3"/>
      <c r="E299" s="3"/>
      <c r="F299" s="3"/>
    </row>
    <row r="300" ht="14.25" customHeight="1">
      <c r="A300" s="3"/>
      <c r="B300" s="3"/>
      <c r="C300" s="3"/>
      <c r="D300" s="3"/>
      <c r="E300" s="3"/>
      <c r="F300" s="3"/>
    </row>
    <row r="301" ht="14.25" customHeight="1">
      <c r="A301" s="3"/>
      <c r="B301" s="3"/>
      <c r="C301" s="3"/>
      <c r="D301" s="3"/>
      <c r="E301" s="3"/>
      <c r="F301" s="3"/>
    </row>
    <row r="302" ht="14.25" customHeight="1">
      <c r="A302" s="3"/>
      <c r="B302" s="3"/>
      <c r="C302" s="3"/>
      <c r="D302" s="3"/>
      <c r="E302" s="3"/>
      <c r="F302" s="3"/>
    </row>
    <row r="303" ht="14.25" customHeight="1">
      <c r="A303" s="3"/>
      <c r="B303" s="3"/>
      <c r="C303" s="3"/>
      <c r="D303" s="3"/>
      <c r="E303" s="3"/>
      <c r="F303" s="3"/>
    </row>
    <row r="304" ht="14.25" customHeight="1">
      <c r="A304" s="3"/>
      <c r="B304" s="3"/>
      <c r="C304" s="3"/>
      <c r="D304" s="3"/>
      <c r="E304" s="3"/>
      <c r="F304" s="3"/>
    </row>
    <row r="305" ht="14.25" customHeight="1">
      <c r="A305" s="3"/>
      <c r="B305" s="3"/>
      <c r="C305" s="3"/>
      <c r="D305" s="3"/>
      <c r="E305" s="3"/>
      <c r="F305" s="3"/>
    </row>
    <row r="306" ht="14.25" customHeight="1">
      <c r="A306" s="3"/>
      <c r="B306" s="3"/>
      <c r="C306" s="3"/>
      <c r="D306" s="3"/>
      <c r="E306" s="3"/>
      <c r="F306" s="3"/>
    </row>
    <row r="307" ht="14.25" customHeight="1">
      <c r="A307" s="3"/>
      <c r="B307" s="3"/>
      <c r="C307" s="3"/>
      <c r="D307" s="3"/>
      <c r="E307" s="3"/>
      <c r="F307" s="3"/>
    </row>
    <row r="308" ht="14.25" customHeight="1">
      <c r="A308" s="3"/>
      <c r="B308" s="3"/>
      <c r="C308" s="3"/>
      <c r="D308" s="3"/>
      <c r="E308" s="3"/>
      <c r="F308" s="3"/>
    </row>
    <row r="309" ht="14.25" customHeight="1">
      <c r="A309" s="3"/>
      <c r="B309" s="3"/>
      <c r="C309" s="3"/>
      <c r="D309" s="3"/>
      <c r="E309" s="3"/>
      <c r="F309" s="3"/>
    </row>
    <row r="310" ht="14.25" customHeight="1">
      <c r="A310" s="3"/>
      <c r="B310" s="3"/>
      <c r="C310" s="3"/>
      <c r="D310" s="3"/>
      <c r="E310" s="3"/>
      <c r="F310" s="3"/>
    </row>
    <row r="311" ht="14.25" customHeight="1">
      <c r="A311" s="3"/>
      <c r="B311" s="3"/>
      <c r="C311" s="3"/>
      <c r="D311" s="3"/>
      <c r="E311" s="3"/>
      <c r="F311" s="3"/>
    </row>
    <row r="312" ht="14.25" customHeight="1">
      <c r="A312" s="3"/>
      <c r="B312" s="3"/>
      <c r="C312" s="3"/>
      <c r="D312" s="3"/>
      <c r="E312" s="3"/>
      <c r="F312" s="3"/>
    </row>
    <row r="313" ht="14.25" customHeight="1">
      <c r="A313" s="3"/>
      <c r="B313" s="3"/>
      <c r="C313" s="3"/>
      <c r="D313" s="3"/>
      <c r="E313" s="3"/>
      <c r="F313" s="3"/>
    </row>
    <row r="314" ht="14.25" customHeight="1">
      <c r="A314" s="3"/>
      <c r="B314" s="3"/>
      <c r="C314" s="3"/>
      <c r="D314" s="3"/>
      <c r="E314" s="3"/>
      <c r="F314" s="3"/>
    </row>
    <row r="315" ht="14.25" customHeight="1">
      <c r="A315" s="3"/>
      <c r="B315" s="3"/>
      <c r="C315" s="3"/>
      <c r="D315" s="3"/>
      <c r="E315" s="3"/>
      <c r="F315" s="3"/>
    </row>
    <row r="316" ht="14.25" customHeight="1">
      <c r="A316" s="3"/>
      <c r="B316" s="3"/>
      <c r="C316" s="3"/>
      <c r="D316" s="3"/>
      <c r="E316" s="3"/>
      <c r="F316" s="3"/>
    </row>
    <row r="317" ht="14.25" customHeight="1">
      <c r="A317" s="3"/>
      <c r="B317" s="3"/>
      <c r="C317" s="3"/>
      <c r="D317" s="3"/>
      <c r="E317" s="3"/>
      <c r="F317" s="3"/>
    </row>
    <row r="318" ht="14.25" customHeight="1">
      <c r="A318" s="3"/>
      <c r="B318" s="3"/>
      <c r="C318" s="3"/>
      <c r="D318" s="3"/>
      <c r="E318" s="3"/>
      <c r="F318" s="3"/>
    </row>
    <row r="319" ht="14.25" customHeight="1">
      <c r="A319" s="3"/>
      <c r="B319" s="3"/>
      <c r="C319" s="3"/>
      <c r="D319" s="3"/>
      <c r="E319" s="3"/>
      <c r="F319" s="3"/>
    </row>
    <row r="320" ht="14.25" customHeight="1">
      <c r="A320" s="3"/>
      <c r="B320" s="3"/>
      <c r="C320" s="3"/>
      <c r="D320" s="3"/>
      <c r="E320" s="3"/>
      <c r="F320" s="3"/>
    </row>
    <row r="321" ht="14.25" customHeight="1">
      <c r="A321" s="3"/>
      <c r="B321" s="3"/>
      <c r="C321" s="3"/>
      <c r="D321" s="3"/>
      <c r="E321" s="3"/>
      <c r="F321" s="3"/>
    </row>
    <row r="322" ht="14.25" customHeight="1">
      <c r="A322" s="3"/>
      <c r="B322" s="3"/>
      <c r="C322" s="3"/>
      <c r="D322" s="3"/>
      <c r="E322" s="3"/>
      <c r="F322" s="3"/>
    </row>
    <row r="323" ht="14.25" customHeight="1">
      <c r="A323" s="3"/>
      <c r="B323" s="3"/>
      <c r="C323" s="3"/>
      <c r="D323" s="3"/>
      <c r="E323" s="3"/>
      <c r="F323" s="3"/>
    </row>
    <row r="324" ht="14.25" customHeight="1">
      <c r="A324" s="3"/>
      <c r="B324" s="3"/>
      <c r="C324" s="3"/>
      <c r="D324" s="3"/>
      <c r="E324" s="3"/>
      <c r="F324" s="3"/>
    </row>
    <row r="325" ht="14.25" customHeight="1">
      <c r="A325" s="3"/>
      <c r="B325" s="3"/>
      <c r="C325" s="3"/>
      <c r="D325" s="3"/>
      <c r="E325" s="3"/>
      <c r="F325" s="3"/>
    </row>
    <row r="326" ht="14.25" customHeight="1">
      <c r="A326" s="3"/>
      <c r="B326" s="3"/>
      <c r="C326" s="3"/>
      <c r="D326" s="3"/>
      <c r="E326" s="3"/>
      <c r="F326" s="3"/>
    </row>
    <row r="327" ht="14.25" customHeight="1">
      <c r="A327" s="3"/>
      <c r="B327" s="3"/>
      <c r="C327" s="3"/>
      <c r="D327" s="3"/>
      <c r="E327" s="3"/>
      <c r="F327" s="3"/>
    </row>
    <row r="328" ht="14.25" customHeight="1">
      <c r="A328" s="3"/>
      <c r="B328" s="3"/>
      <c r="C328" s="3"/>
      <c r="D328" s="3"/>
      <c r="E328" s="3"/>
      <c r="F328" s="3"/>
    </row>
    <row r="329" ht="14.25" customHeight="1">
      <c r="A329" s="3"/>
      <c r="B329" s="3"/>
      <c r="C329" s="3"/>
      <c r="D329" s="3"/>
      <c r="E329" s="3"/>
      <c r="F329" s="3"/>
    </row>
    <row r="330" ht="14.25" customHeight="1">
      <c r="A330" s="3"/>
      <c r="B330" s="3"/>
      <c r="C330" s="3"/>
      <c r="D330" s="3"/>
      <c r="E330" s="3"/>
      <c r="F330" s="3"/>
    </row>
    <row r="331" ht="14.25" customHeight="1">
      <c r="A331" s="3"/>
      <c r="B331" s="3"/>
      <c r="C331" s="3"/>
      <c r="D331" s="3"/>
      <c r="E331" s="3"/>
      <c r="F331" s="3"/>
    </row>
    <row r="332" ht="14.25" customHeight="1">
      <c r="A332" s="3"/>
      <c r="B332" s="3"/>
      <c r="C332" s="3"/>
      <c r="D332" s="3"/>
      <c r="E332" s="3"/>
      <c r="F332" s="3"/>
    </row>
    <row r="333" ht="14.25" customHeight="1">
      <c r="A333" s="3"/>
      <c r="B333" s="3"/>
      <c r="C333" s="3"/>
      <c r="D333" s="3"/>
      <c r="E333" s="3"/>
      <c r="F333" s="3"/>
    </row>
    <row r="334" ht="14.25" customHeight="1">
      <c r="A334" s="3"/>
      <c r="B334" s="3"/>
      <c r="C334" s="3"/>
      <c r="D334" s="3"/>
      <c r="E334" s="3"/>
      <c r="F334" s="3"/>
    </row>
    <row r="335" ht="15.75" customHeight="1">
      <c r="A335" s="3"/>
      <c r="B335" s="3"/>
      <c r="C335" s="3"/>
      <c r="D335" s="3"/>
      <c r="E335" s="3"/>
      <c r="F335" s="3"/>
    </row>
    <row r="336" ht="15.75" customHeight="1">
      <c r="A336" s="3"/>
      <c r="B336" s="3"/>
      <c r="C336" s="3"/>
      <c r="D336" s="3"/>
      <c r="E336" s="3"/>
      <c r="F336" s="3"/>
    </row>
    <row r="337" ht="15.75" customHeight="1">
      <c r="A337" s="3"/>
      <c r="B337" s="3"/>
      <c r="C337" s="3"/>
      <c r="D337" s="3"/>
      <c r="E337" s="3"/>
      <c r="F337" s="3"/>
    </row>
    <row r="338" ht="15.75" customHeight="1">
      <c r="A338" s="3"/>
      <c r="B338" s="3"/>
      <c r="C338" s="3"/>
      <c r="D338" s="3"/>
      <c r="E338" s="3"/>
      <c r="F338" s="3"/>
    </row>
    <row r="339" ht="15.75" customHeight="1">
      <c r="A339" s="3"/>
      <c r="B339" s="3"/>
      <c r="C339" s="3"/>
      <c r="D339" s="3"/>
      <c r="E339" s="3"/>
      <c r="F339" s="3"/>
    </row>
    <row r="340" ht="15.75" customHeight="1">
      <c r="A340" s="3"/>
      <c r="B340" s="3"/>
      <c r="C340" s="3"/>
      <c r="D340" s="3"/>
      <c r="E340" s="3"/>
      <c r="F340" s="3"/>
    </row>
    <row r="341" ht="15.75" customHeight="1">
      <c r="A341" s="3"/>
      <c r="B341" s="3"/>
      <c r="C341" s="3"/>
      <c r="D341" s="3"/>
      <c r="E341" s="3"/>
      <c r="F341" s="3"/>
    </row>
    <row r="342" ht="15.75" customHeight="1">
      <c r="A342" s="3"/>
      <c r="B342" s="3"/>
      <c r="C342" s="3"/>
      <c r="D342" s="3"/>
      <c r="E342" s="3"/>
      <c r="F342" s="3"/>
    </row>
    <row r="343" ht="15.75" customHeight="1">
      <c r="A343" s="3"/>
      <c r="B343" s="3"/>
      <c r="C343" s="3"/>
      <c r="D343" s="3"/>
      <c r="E343" s="3"/>
      <c r="F343" s="3"/>
    </row>
    <row r="344" ht="15.75" customHeight="1">
      <c r="A344" s="3"/>
      <c r="B344" s="3"/>
      <c r="C344" s="3"/>
      <c r="D344" s="3"/>
      <c r="E344" s="3"/>
      <c r="F344" s="3"/>
    </row>
    <row r="345" ht="15.75" customHeight="1">
      <c r="A345" s="3"/>
      <c r="B345" s="3"/>
      <c r="C345" s="3"/>
      <c r="D345" s="3"/>
      <c r="E345" s="3"/>
      <c r="F345" s="3"/>
    </row>
    <row r="346" ht="15.75" customHeight="1">
      <c r="A346" s="3"/>
      <c r="B346" s="3"/>
      <c r="C346" s="3"/>
      <c r="D346" s="3"/>
      <c r="E346" s="3"/>
      <c r="F346" s="3"/>
    </row>
    <row r="347" ht="15.75" customHeight="1">
      <c r="A347" s="3"/>
      <c r="B347" s="3"/>
      <c r="C347" s="3"/>
      <c r="D347" s="3"/>
      <c r="E347" s="3"/>
      <c r="F347" s="3"/>
    </row>
    <row r="348" ht="15.75" customHeight="1">
      <c r="A348" s="3"/>
      <c r="B348" s="3"/>
      <c r="C348" s="3"/>
      <c r="D348" s="3"/>
      <c r="E348" s="3"/>
      <c r="F348" s="3"/>
    </row>
    <row r="349" ht="15.75" customHeight="1">
      <c r="A349" s="3"/>
      <c r="B349" s="3"/>
      <c r="C349" s="3"/>
      <c r="D349" s="3"/>
      <c r="E349" s="3"/>
      <c r="F349" s="3"/>
    </row>
    <row r="350" ht="15.75" customHeight="1">
      <c r="A350" s="3"/>
      <c r="B350" s="3"/>
      <c r="C350" s="3"/>
      <c r="D350" s="3"/>
      <c r="E350" s="3"/>
      <c r="F350" s="3"/>
    </row>
    <row r="351" ht="15.75" customHeight="1">
      <c r="A351" s="3"/>
      <c r="B351" s="3"/>
      <c r="C351" s="3"/>
      <c r="D351" s="3"/>
      <c r="E351" s="3"/>
      <c r="F351" s="3"/>
    </row>
    <row r="352" ht="15.75" customHeight="1">
      <c r="A352" s="3"/>
      <c r="B352" s="3"/>
      <c r="C352" s="3"/>
      <c r="D352" s="3"/>
      <c r="E352" s="3"/>
      <c r="F352" s="3"/>
    </row>
    <row r="353" ht="15.75" customHeight="1">
      <c r="A353" s="3"/>
      <c r="B353" s="3"/>
      <c r="C353" s="3"/>
      <c r="D353" s="3"/>
      <c r="E353" s="3"/>
      <c r="F353" s="3"/>
    </row>
    <row r="354" ht="15.75" customHeight="1">
      <c r="A354" s="3"/>
      <c r="B354" s="3"/>
      <c r="C354" s="3"/>
      <c r="D354" s="3"/>
      <c r="E354" s="3"/>
      <c r="F354" s="3"/>
    </row>
    <row r="355" ht="15.75" customHeight="1">
      <c r="A355" s="3"/>
      <c r="B355" s="3"/>
      <c r="C355" s="3"/>
      <c r="D355" s="3"/>
      <c r="E355" s="3"/>
      <c r="F355" s="3"/>
    </row>
    <row r="356" ht="15.75" customHeight="1">
      <c r="A356" s="3"/>
      <c r="B356" s="3"/>
      <c r="C356" s="3"/>
      <c r="D356" s="3"/>
      <c r="E356" s="3"/>
      <c r="F356" s="3"/>
    </row>
    <row r="357" ht="15.75" customHeight="1">
      <c r="A357" s="3"/>
      <c r="B357" s="3"/>
      <c r="C357" s="3"/>
      <c r="D357" s="3"/>
      <c r="E357" s="3"/>
      <c r="F357" s="3"/>
    </row>
    <row r="358" ht="15.75" customHeight="1">
      <c r="A358" s="3"/>
      <c r="B358" s="3"/>
      <c r="C358" s="3"/>
      <c r="D358" s="3"/>
      <c r="E358" s="3"/>
      <c r="F358" s="3"/>
    </row>
    <row r="359" ht="15.75" customHeight="1">
      <c r="A359" s="3"/>
      <c r="B359" s="3"/>
      <c r="C359" s="3"/>
      <c r="D359" s="3"/>
      <c r="E359" s="3"/>
      <c r="F359" s="3"/>
    </row>
    <row r="360" ht="15.75" customHeight="1">
      <c r="A360" s="3"/>
      <c r="B360" s="3"/>
      <c r="C360" s="3"/>
      <c r="D360" s="3"/>
      <c r="E360" s="3"/>
      <c r="F360" s="3"/>
    </row>
    <row r="361" ht="15.75" customHeight="1">
      <c r="A361" s="3"/>
      <c r="B361" s="3"/>
      <c r="C361" s="3"/>
      <c r="D361" s="3"/>
      <c r="E361" s="3"/>
      <c r="F361" s="3"/>
    </row>
    <row r="362" ht="15.75" customHeight="1">
      <c r="A362" s="3"/>
      <c r="B362" s="3"/>
      <c r="C362" s="3"/>
      <c r="D362" s="3"/>
      <c r="E362" s="3"/>
      <c r="F362" s="3"/>
    </row>
    <row r="363" ht="15.75" customHeight="1">
      <c r="A363" s="3"/>
      <c r="B363" s="3"/>
      <c r="C363" s="3"/>
      <c r="D363" s="3"/>
      <c r="E363" s="3"/>
      <c r="F363" s="3"/>
    </row>
    <row r="364" ht="15.75" customHeight="1">
      <c r="A364" s="3"/>
      <c r="B364" s="3"/>
      <c r="C364" s="3"/>
      <c r="D364" s="3"/>
      <c r="E364" s="3"/>
      <c r="F364" s="3"/>
    </row>
    <row r="365" ht="15.75" customHeight="1">
      <c r="A365" s="3"/>
      <c r="B365" s="3"/>
      <c r="C365" s="3"/>
      <c r="D365" s="3"/>
      <c r="E365" s="3"/>
      <c r="F365" s="3"/>
    </row>
    <row r="366" ht="15.75" customHeight="1">
      <c r="A366" s="3"/>
      <c r="B366" s="3"/>
      <c r="C366" s="3"/>
      <c r="D366" s="3"/>
      <c r="E366" s="3"/>
      <c r="F366" s="3"/>
    </row>
    <row r="367" ht="15.75" customHeight="1">
      <c r="A367" s="3"/>
      <c r="B367" s="3"/>
      <c r="C367" s="3"/>
      <c r="D367" s="3"/>
      <c r="E367" s="3"/>
      <c r="F367" s="3"/>
    </row>
    <row r="368" ht="15.75" customHeight="1">
      <c r="A368" s="3"/>
      <c r="B368" s="3"/>
      <c r="C368" s="3"/>
      <c r="D368" s="3"/>
      <c r="E368" s="3"/>
      <c r="F368" s="3"/>
    </row>
    <row r="369" ht="15.75" customHeight="1">
      <c r="A369" s="3"/>
      <c r="B369" s="3"/>
      <c r="C369" s="3"/>
      <c r="D369" s="3"/>
      <c r="E369" s="3"/>
      <c r="F369" s="3"/>
    </row>
    <row r="370" ht="15.75" customHeight="1">
      <c r="A370" s="3"/>
      <c r="B370" s="3"/>
      <c r="C370" s="3"/>
      <c r="D370" s="3"/>
      <c r="E370" s="3"/>
      <c r="F370" s="3"/>
    </row>
    <row r="371" ht="15.75" customHeight="1">
      <c r="A371" s="3"/>
      <c r="B371" s="3"/>
      <c r="C371" s="3"/>
      <c r="D371" s="3"/>
      <c r="E371" s="3"/>
      <c r="F371" s="3"/>
    </row>
    <row r="372" ht="15.75" customHeight="1">
      <c r="A372" s="3"/>
      <c r="B372" s="3"/>
      <c r="C372" s="3"/>
      <c r="D372" s="3"/>
      <c r="E372" s="3"/>
      <c r="F372" s="3"/>
    </row>
    <row r="373" ht="15.75" customHeight="1">
      <c r="A373" s="3"/>
      <c r="B373" s="3"/>
      <c r="C373" s="3"/>
      <c r="D373" s="3"/>
      <c r="E373" s="3"/>
      <c r="F373" s="3"/>
    </row>
    <row r="374" ht="15.75" customHeight="1">
      <c r="A374" s="3"/>
      <c r="B374" s="3"/>
      <c r="C374" s="3"/>
      <c r="D374" s="3"/>
      <c r="E374" s="3"/>
      <c r="F374" s="3"/>
    </row>
    <row r="375" ht="15.75" customHeight="1">
      <c r="A375" s="3"/>
      <c r="B375" s="3"/>
      <c r="C375" s="3"/>
      <c r="D375" s="3"/>
      <c r="E375" s="3"/>
      <c r="F375" s="3"/>
    </row>
    <row r="376" ht="15.75" customHeight="1">
      <c r="A376" s="3"/>
      <c r="B376" s="3"/>
      <c r="C376" s="3"/>
      <c r="D376" s="3"/>
      <c r="E376" s="3"/>
      <c r="F376" s="3"/>
    </row>
    <row r="377" ht="15.75" customHeight="1">
      <c r="A377" s="3"/>
      <c r="B377" s="3"/>
      <c r="C377" s="3"/>
      <c r="D377" s="3"/>
      <c r="E377" s="3"/>
      <c r="F377" s="3"/>
    </row>
    <row r="378" ht="15.75" customHeight="1">
      <c r="A378" s="3"/>
      <c r="B378" s="3"/>
      <c r="C378" s="3"/>
      <c r="D378" s="3"/>
      <c r="E378" s="3"/>
      <c r="F378" s="3"/>
    </row>
    <row r="379" ht="15.75" customHeight="1">
      <c r="A379" s="3"/>
      <c r="B379" s="3"/>
      <c r="C379" s="3"/>
      <c r="D379" s="3"/>
      <c r="E379" s="3"/>
      <c r="F379" s="3"/>
    </row>
    <row r="380" ht="15.75" customHeight="1">
      <c r="A380" s="3"/>
      <c r="B380" s="3"/>
      <c r="C380" s="3"/>
      <c r="D380" s="3"/>
      <c r="E380" s="3"/>
      <c r="F380" s="3"/>
    </row>
    <row r="381" ht="15.75" customHeight="1">
      <c r="A381" s="3"/>
      <c r="B381" s="3"/>
      <c r="C381" s="3"/>
      <c r="D381" s="3"/>
      <c r="E381" s="3"/>
      <c r="F381" s="3"/>
    </row>
    <row r="382" ht="15.75" customHeight="1">
      <c r="A382" s="3"/>
      <c r="B382" s="3"/>
      <c r="C382" s="3"/>
      <c r="D382" s="3"/>
      <c r="E382" s="3"/>
      <c r="F382" s="3"/>
    </row>
    <row r="383" ht="15.75" customHeight="1">
      <c r="A383" s="3"/>
      <c r="B383" s="3"/>
      <c r="C383" s="3"/>
      <c r="D383" s="3"/>
      <c r="E383" s="3"/>
      <c r="F383" s="3"/>
    </row>
    <row r="384" ht="15.75" customHeight="1">
      <c r="A384" s="3"/>
      <c r="B384" s="3"/>
      <c r="C384" s="3"/>
      <c r="D384" s="3"/>
      <c r="E384" s="3"/>
      <c r="F384" s="3"/>
    </row>
    <row r="385" ht="15.75" customHeight="1">
      <c r="A385" s="3"/>
      <c r="B385" s="3"/>
      <c r="C385" s="3"/>
      <c r="D385" s="3"/>
      <c r="E385" s="3"/>
      <c r="F385" s="3"/>
    </row>
    <row r="386" ht="15.75" customHeight="1">
      <c r="A386" s="3"/>
      <c r="B386" s="3"/>
      <c r="C386" s="3"/>
      <c r="D386" s="3"/>
      <c r="E386" s="3"/>
      <c r="F386" s="3"/>
    </row>
    <row r="387" ht="15.75" customHeight="1">
      <c r="A387" s="3"/>
      <c r="B387" s="3"/>
      <c r="C387" s="3"/>
      <c r="D387" s="3"/>
      <c r="E387" s="3"/>
      <c r="F387" s="3"/>
    </row>
    <row r="388" ht="15.75" customHeight="1">
      <c r="A388" s="3"/>
      <c r="B388" s="3"/>
      <c r="C388" s="3"/>
      <c r="D388" s="3"/>
      <c r="E388" s="3"/>
      <c r="F388" s="3"/>
    </row>
    <row r="389" ht="15.75" customHeight="1">
      <c r="A389" s="3"/>
      <c r="B389" s="3"/>
      <c r="C389" s="3"/>
      <c r="D389" s="3"/>
      <c r="E389" s="3"/>
      <c r="F389" s="3"/>
    </row>
    <row r="390" ht="15.75" customHeight="1">
      <c r="A390" s="3"/>
      <c r="B390" s="3"/>
      <c r="C390" s="3"/>
      <c r="D390" s="3"/>
      <c r="E390" s="3"/>
      <c r="F390" s="3"/>
    </row>
    <row r="391" ht="15.75" customHeight="1">
      <c r="A391" s="3"/>
      <c r="B391" s="3"/>
      <c r="C391" s="3"/>
      <c r="D391" s="3"/>
      <c r="E391" s="3"/>
      <c r="F391" s="3"/>
    </row>
    <row r="392" ht="15.75" customHeight="1">
      <c r="A392" s="3"/>
      <c r="B392" s="3"/>
      <c r="C392" s="3"/>
      <c r="D392" s="3"/>
      <c r="E392" s="3"/>
      <c r="F392" s="3"/>
    </row>
    <row r="393" ht="15.75" customHeight="1">
      <c r="A393" s="3"/>
      <c r="B393" s="3"/>
      <c r="C393" s="3"/>
      <c r="D393" s="3"/>
      <c r="E393" s="3"/>
      <c r="F393" s="3"/>
    </row>
    <row r="394" ht="15.75" customHeight="1">
      <c r="A394" s="3"/>
      <c r="B394" s="3"/>
      <c r="C394" s="3"/>
      <c r="D394" s="3"/>
      <c r="E394" s="3"/>
      <c r="F394" s="3"/>
    </row>
    <row r="395" ht="15.75" customHeight="1">
      <c r="A395" s="3"/>
      <c r="B395" s="3"/>
      <c r="C395" s="3"/>
      <c r="D395" s="3"/>
      <c r="E395" s="3"/>
      <c r="F395" s="3"/>
    </row>
    <row r="396" ht="15.75" customHeight="1">
      <c r="A396" s="3"/>
      <c r="B396" s="3"/>
      <c r="C396" s="3"/>
      <c r="D396" s="3"/>
      <c r="E396" s="3"/>
      <c r="F396" s="3"/>
    </row>
    <row r="397" ht="15.75" customHeight="1">
      <c r="A397" s="3"/>
      <c r="B397" s="3"/>
      <c r="C397" s="3"/>
      <c r="D397" s="3"/>
      <c r="E397" s="3"/>
      <c r="F397" s="3"/>
    </row>
    <row r="398" ht="15.75" customHeight="1">
      <c r="A398" s="3"/>
      <c r="B398" s="3"/>
      <c r="C398" s="3"/>
      <c r="D398" s="3"/>
      <c r="E398" s="3"/>
      <c r="F398" s="3"/>
    </row>
    <row r="399" ht="15.75" customHeight="1">
      <c r="A399" s="3"/>
      <c r="B399" s="3"/>
      <c r="C399" s="3"/>
      <c r="D399" s="3"/>
      <c r="E399" s="3"/>
      <c r="F399" s="3"/>
    </row>
    <row r="400" ht="15.75" customHeight="1">
      <c r="A400" s="3"/>
      <c r="B400" s="3"/>
      <c r="C400" s="3"/>
      <c r="D400" s="3"/>
      <c r="E400" s="3"/>
      <c r="F400" s="3"/>
    </row>
    <row r="401" ht="15.75" customHeight="1">
      <c r="A401" s="3"/>
      <c r="B401" s="3"/>
      <c r="C401" s="3"/>
      <c r="D401" s="3"/>
      <c r="E401" s="3"/>
      <c r="F401" s="3"/>
    </row>
    <row r="402" ht="15.75" customHeight="1">
      <c r="A402" s="3"/>
      <c r="B402" s="3"/>
      <c r="C402" s="3"/>
      <c r="D402" s="3"/>
      <c r="E402" s="3"/>
      <c r="F402" s="3"/>
    </row>
    <row r="403" ht="15.75" customHeight="1">
      <c r="A403" s="3"/>
      <c r="B403" s="3"/>
      <c r="C403" s="3"/>
      <c r="D403" s="3"/>
      <c r="E403" s="3"/>
      <c r="F403" s="3"/>
    </row>
    <row r="404" ht="15.75" customHeight="1">
      <c r="A404" s="3"/>
      <c r="B404" s="3"/>
      <c r="C404" s="3"/>
      <c r="D404" s="3"/>
      <c r="E404" s="3"/>
      <c r="F404" s="3"/>
    </row>
    <row r="405" ht="15.75" customHeight="1">
      <c r="A405" s="3"/>
      <c r="B405" s="3"/>
      <c r="C405" s="3"/>
      <c r="D405" s="3"/>
      <c r="E405" s="3"/>
      <c r="F405" s="3"/>
    </row>
    <row r="406" ht="15.75" customHeight="1">
      <c r="A406" s="3"/>
      <c r="B406" s="3"/>
      <c r="C406" s="3"/>
      <c r="D406" s="3"/>
      <c r="E406" s="3"/>
      <c r="F406" s="3"/>
    </row>
    <row r="407" ht="15.75" customHeight="1">
      <c r="A407" s="3"/>
      <c r="B407" s="3"/>
      <c r="C407" s="3"/>
      <c r="D407" s="3"/>
      <c r="E407" s="3"/>
      <c r="F407" s="3"/>
    </row>
    <row r="408" ht="15.75" customHeight="1">
      <c r="A408" s="3"/>
      <c r="B408" s="3"/>
      <c r="C408" s="3"/>
      <c r="D408" s="3"/>
      <c r="E408" s="3"/>
      <c r="F408" s="3"/>
    </row>
    <row r="409" ht="15.75" customHeight="1">
      <c r="A409" s="3"/>
      <c r="B409" s="3"/>
      <c r="C409" s="3"/>
      <c r="D409" s="3"/>
      <c r="E409" s="3"/>
      <c r="F409" s="3"/>
    </row>
    <row r="410" ht="15.75" customHeight="1">
      <c r="A410" s="3"/>
      <c r="B410" s="3"/>
      <c r="C410" s="3"/>
      <c r="D410" s="3"/>
      <c r="E410" s="3"/>
      <c r="F410" s="3"/>
    </row>
    <row r="411" ht="15.75" customHeight="1">
      <c r="A411" s="3"/>
      <c r="B411" s="3"/>
      <c r="C411" s="3"/>
      <c r="D411" s="3"/>
      <c r="E411" s="3"/>
      <c r="F411" s="3"/>
    </row>
    <row r="412" ht="15.75" customHeight="1">
      <c r="A412" s="3"/>
      <c r="B412" s="3"/>
      <c r="C412" s="3"/>
      <c r="D412" s="3"/>
      <c r="E412" s="3"/>
      <c r="F412" s="3"/>
    </row>
    <row r="413" ht="15.75" customHeight="1">
      <c r="A413" s="3"/>
      <c r="B413" s="3"/>
      <c r="C413" s="3"/>
      <c r="D413" s="3"/>
      <c r="E413" s="3"/>
      <c r="F413" s="3"/>
    </row>
    <row r="414" ht="15.75" customHeight="1">
      <c r="A414" s="3"/>
      <c r="B414" s="3"/>
      <c r="C414" s="3"/>
      <c r="D414" s="3"/>
      <c r="E414" s="3"/>
      <c r="F414" s="3"/>
    </row>
    <row r="415" ht="15.75" customHeight="1">
      <c r="A415" s="3"/>
      <c r="B415" s="3"/>
      <c r="C415" s="3"/>
      <c r="D415" s="3"/>
      <c r="E415" s="3"/>
      <c r="F415" s="3"/>
    </row>
    <row r="416" ht="15.75" customHeight="1">
      <c r="A416" s="3"/>
      <c r="B416" s="3"/>
      <c r="C416" s="3"/>
      <c r="D416" s="3"/>
      <c r="E416" s="3"/>
      <c r="F416" s="3"/>
    </row>
    <row r="417" ht="15.75" customHeight="1">
      <c r="A417" s="3"/>
      <c r="B417" s="3"/>
      <c r="C417" s="3"/>
      <c r="D417" s="3"/>
      <c r="E417" s="3"/>
      <c r="F417" s="3"/>
    </row>
    <row r="418" ht="15.75" customHeight="1">
      <c r="A418" s="3"/>
      <c r="B418" s="3"/>
      <c r="C418" s="3"/>
      <c r="D418" s="3"/>
      <c r="E418" s="3"/>
      <c r="F418" s="3"/>
    </row>
    <row r="419" ht="15.75" customHeight="1">
      <c r="A419" s="3"/>
      <c r="B419" s="3"/>
      <c r="C419" s="3"/>
      <c r="D419" s="3"/>
      <c r="E419" s="3"/>
      <c r="F419" s="3"/>
    </row>
    <row r="420" ht="15.75" customHeight="1">
      <c r="A420" s="3"/>
      <c r="B420" s="3"/>
      <c r="C420" s="3"/>
      <c r="D420" s="3"/>
      <c r="E420" s="3"/>
      <c r="F420" s="3"/>
    </row>
    <row r="421" ht="15.75" customHeight="1">
      <c r="A421" s="3"/>
      <c r="B421" s="3"/>
      <c r="C421" s="3"/>
      <c r="D421" s="3"/>
      <c r="E421" s="3"/>
      <c r="F421" s="3"/>
    </row>
    <row r="422" ht="15.75" customHeight="1">
      <c r="A422" s="3"/>
      <c r="B422" s="3"/>
      <c r="C422" s="3"/>
      <c r="D422" s="3"/>
      <c r="E422" s="3"/>
      <c r="F422" s="3"/>
    </row>
    <row r="423" ht="15.75" customHeight="1">
      <c r="A423" s="3"/>
      <c r="B423" s="3"/>
      <c r="C423" s="3"/>
      <c r="D423" s="3"/>
      <c r="E423" s="3"/>
      <c r="F423" s="3"/>
    </row>
    <row r="424" ht="15.75" customHeight="1">
      <c r="A424" s="3"/>
      <c r="B424" s="3"/>
      <c r="C424" s="3"/>
      <c r="D424" s="3"/>
      <c r="E424" s="3"/>
      <c r="F424" s="3"/>
    </row>
    <row r="425" ht="15.75" customHeight="1">
      <c r="A425" s="3"/>
      <c r="B425" s="3"/>
      <c r="C425" s="3"/>
      <c r="D425" s="3"/>
      <c r="E425" s="3"/>
      <c r="F425" s="3"/>
    </row>
    <row r="426" ht="15.75" customHeight="1">
      <c r="A426" s="3"/>
      <c r="B426" s="3"/>
      <c r="C426" s="3"/>
      <c r="D426" s="3"/>
      <c r="E426" s="3"/>
      <c r="F426" s="3"/>
    </row>
    <row r="427" ht="15.75" customHeight="1">
      <c r="A427" s="3"/>
      <c r="B427" s="3"/>
      <c r="C427" s="3"/>
      <c r="D427" s="3"/>
      <c r="E427" s="3"/>
      <c r="F427" s="3"/>
    </row>
    <row r="428" ht="15.75" customHeight="1">
      <c r="A428" s="3"/>
      <c r="B428" s="3"/>
      <c r="C428" s="3"/>
      <c r="D428" s="3"/>
      <c r="E428" s="3"/>
      <c r="F428" s="3"/>
    </row>
    <row r="429" ht="15.75" customHeight="1">
      <c r="A429" s="3"/>
      <c r="B429" s="3"/>
      <c r="C429" s="3"/>
      <c r="D429" s="3"/>
      <c r="E429" s="3"/>
      <c r="F429" s="3"/>
    </row>
    <row r="430" ht="15.75" customHeight="1">
      <c r="A430" s="3"/>
      <c r="B430" s="3"/>
      <c r="C430" s="3"/>
      <c r="D430" s="3"/>
      <c r="E430" s="3"/>
      <c r="F430" s="3"/>
    </row>
    <row r="431" ht="15.75" customHeight="1">
      <c r="A431" s="3"/>
      <c r="B431" s="3"/>
      <c r="C431" s="3"/>
      <c r="D431" s="3"/>
      <c r="E431" s="3"/>
      <c r="F431" s="3"/>
    </row>
    <row r="432" ht="15.75" customHeight="1">
      <c r="A432" s="3"/>
      <c r="B432" s="3"/>
      <c r="C432" s="3"/>
      <c r="D432" s="3"/>
      <c r="E432" s="3"/>
      <c r="F432" s="3"/>
    </row>
    <row r="433" ht="15.75" customHeight="1">
      <c r="A433" s="3"/>
      <c r="B433" s="3"/>
      <c r="C433" s="3"/>
      <c r="D433" s="3"/>
      <c r="E433" s="3"/>
      <c r="F433" s="3"/>
    </row>
    <row r="434" ht="15.75" customHeight="1">
      <c r="A434" s="3"/>
      <c r="B434" s="3"/>
      <c r="C434" s="3"/>
      <c r="D434" s="3"/>
      <c r="E434" s="3"/>
      <c r="F434" s="3"/>
    </row>
    <row r="435" ht="15.75" customHeight="1">
      <c r="A435" s="3"/>
      <c r="B435" s="3"/>
      <c r="C435" s="3"/>
      <c r="D435" s="3"/>
      <c r="E435" s="3"/>
      <c r="F435" s="3"/>
    </row>
    <row r="436" ht="15.75" customHeight="1">
      <c r="A436" s="3"/>
      <c r="B436" s="3"/>
      <c r="C436" s="3"/>
      <c r="D436" s="3"/>
      <c r="E436" s="3"/>
      <c r="F436" s="3"/>
    </row>
    <row r="437" ht="15.75" customHeight="1">
      <c r="A437" s="3"/>
      <c r="B437" s="3"/>
      <c r="C437" s="3"/>
      <c r="D437" s="3"/>
      <c r="E437" s="3"/>
      <c r="F437" s="3"/>
    </row>
    <row r="438" ht="15.75" customHeight="1">
      <c r="A438" s="3"/>
      <c r="B438" s="3"/>
      <c r="C438" s="3"/>
      <c r="D438" s="3"/>
      <c r="E438" s="3"/>
      <c r="F438" s="3"/>
    </row>
    <row r="439" ht="15.75" customHeight="1">
      <c r="A439" s="3"/>
      <c r="B439" s="3"/>
      <c r="C439" s="3"/>
      <c r="D439" s="3"/>
      <c r="E439" s="3"/>
      <c r="F439" s="3"/>
    </row>
    <row r="440" ht="15.75" customHeight="1">
      <c r="A440" s="3"/>
      <c r="B440" s="3"/>
      <c r="C440" s="3"/>
      <c r="D440" s="3"/>
      <c r="E440" s="3"/>
      <c r="F440" s="3"/>
    </row>
    <row r="441" ht="15.75" customHeight="1">
      <c r="A441" s="3"/>
      <c r="B441" s="3"/>
      <c r="C441" s="3"/>
      <c r="D441" s="3"/>
      <c r="E441" s="3"/>
      <c r="F441" s="3"/>
    </row>
    <row r="442" ht="15.75" customHeight="1">
      <c r="A442" s="3"/>
      <c r="B442" s="3"/>
      <c r="C442" s="3"/>
      <c r="D442" s="3"/>
      <c r="E442" s="3"/>
      <c r="F442" s="3"/>
    </row>
    <row r="443" ht="15.75" customHeight="1">
      <c r="A443" s="3"/>
      <c r="B443" s="3"/>
      <c r="C443" s="3"/>
      <c r="D443" s="3"/>
      <c r="E443" s="3"/>
      <c r="F443" s="3"/>
    </row>
    <row r="444" ht="15.75" customHeight="1">
      <c r="A444" s="3"/>
      <c r="B444" s="3"/>
      <c r="C444" s="3"/>
      <c r="D444" s="3"/>
      <c r="E444" s="3"/>
      <c r="F444" s="3"/>
    </row>
    <row r="445" ht="15.75" customHeight="1">
      <c r="A445" s="3"/>
      <c r="B445" s="3"/>
      <c r="C445" s="3"/>
      <c r="D445" s="3"/>
      <c r="E445" s="3"/>
      <c r="F445" s="3"/>
    </row>
    <row r="446" ht="15.75" customHeight="1">
      <c r="A446" s="3"/>
      <c r="B446" s="3"/>
      <c r="C446" s="3"/>
      <c r="D446" s="3"/>
      <c r="E446" s="3"/>
      <c r="F446" s="3"/>
    </row>
    <row r="447" ht="15.75" customHeight="1">
      <c r="A447" s="3"/>
      <c r="B447" s="3"/>
      <c r="C447" s="3"/>
      <c r="D447" s="3"/>
      <c r="E447" s="3"/>
      <c r="F447" s="3"/>
    </row>
    <row r="448" ht="15.75" customHeight="1">
      <c r="A448" s="3"/>
      <c r="B448" s="3"/>
      <c r="C448" s="3"/>
      <c r="D448" s="3"/>
      <c r="E448" s="3"/>
      <c r="F448" s="3"/>
    </row>
    <row r="449" ht="15.75" customHeight="1">
      <c r="A449" s="3"/>
      <c r="B449" s="3"/>
      <c r="C449" s="3"/>
      <c r="D449" s="3"/>
      <c r="E449" s="3"/>
      <c r="F449" s="3"/>
    </row>
    <row r="450" ht="15.75" customHeight="1">
      <c r="A450" s="3"/>
      <c r="B450" s="3"/>
      <c r="C450" s="3"/>
      <c r="D450" s="3"/>
      <c r="E450" s="3"/>
      <c r="F450" s="3"/>
    </row>
    <row r="451" ht="15.75" customHeight="1">
      <c r="A451" s="3"/>
      <c r="B451" s="3"/>
      <c r="C451" s="3"/>
      <c r="D451" s="3"/>
      <c r="E451" s="3"/>
      <c r="F451" s="3"/>
    </row>
    <row r="452" ht="15.75" customHeight="1">
      <c r="A452" s="3"/>
      <c r="B452" s="3"/>
      <c r="C452" s="3"/>
      <c r="D452" s="3"/>
      <c r="E452" s="3"/>
      <c r="F452" s="3"/>
    </row>
    <row r="453" ht="15.75" customHeight="1">
      <c r="A453" s="3"/>
      <c r="B453" s="3"/>
      <c r="C453" s="3"/>
      <c r="D453" s="3"/>
      <c r="E453" s="3"/>
      <c r="F453" s="3"/>
    </row>
    <row r="454" ht="15.75" customHeight="1">
      <c r="A454" s="3"/>
      <c r="B454" s="3"/>
      <c r="C454" s="3"/>
      <c r="D454" s="3"/>
      <c r="E454" s="3"/>
      <c r="F454" s="3"/>
    </row>
    <row r="455" ht="15.75" customHeight="1">
      <c r="A455" s="3"/>
      <c r="B455" s="3"/>
      <c r="C455" s="3"/>
      <c r="D455" s="3"/>
      <c r="E455" s="3"/>
      <c r="F455" s="3"/>
    </row>
    <row r="456" ht="15.75" customHeight="1">
      <c r="A456" s="3"/>
      <c r="B456" s="3"/>
      <c r="C456" s="3"/>
      <c r="D456" s="3"/>
      <c r="E456" s="3"/>
      <c r="F456" s="3"/>
    </row>
    <row r="457" ht="15.75" customHeight="1">
      <c r="A457" s="3"/>
      <c r="B457" s="3"/>
      <c r="C457" s="3"/>
      <c r="D457" s="3"/>
      <c r="E457" s="3"/>
      <c r="F457" s="3"/>
    </row>
    <row r="458" ht="15.75" customHeight="1">
      <c r="A458" s="3"/>
      <c r="B458" s="3"/>
      <c r="C458" s="3"/>
      <c r="D458" s="3"/>
      <c r="E458" s="3"/>
      <c r="F458" s="3"/>
    </row>
    <row r="459" ht="15.75" customHeight="1">
      <c r="A459" s="3"/>
      <c r="B459" s="3"/>
      <c r="C459" s="3"/>
      <c r="D459" s="3"/>
      <c r="E459" s="3"/>
      <c r="F459" s="3"/>
    </row>
    <row r="460" ht="15.75" customHeight="1">
      <c r="A460" s="3"/>
      <c r="B460" s="3"/>
      <c r="C460" s="3"/>
      <c r="D460" s="3"/>
      <c r="E460" s="3"/>
      <c r="F460" s="3"/>
    </row>
    <row r="461" ht="15.75" customHeight="1">
      <c r="A461" s="3"/>
      <c r="B461" s="3"/>
      <c r="C461" s="3"/>
      <c r="D461" s="3"/>
      <c r="E461" s="3"/>
      <c r="F461" s="3"/>
    </row>
    <row r="462" ht="15.75" customHeight="1">
      <c r="A462" s="3"/>
      <c r="B462" s="3"/>
      <c r="C462" s="3"/>
      <c r="D462" s="3"/>
      <c r="E462" s="3"/>
      <c r="F462" s="3"/>
    </row>
    <row r="463" ht="15.75" customHeight="1">
      <c r="A463" s="3"/>
      <c r="B463" s="3"/>
      <c r="C463" s="3"/>
      <c r="D463" s="3"/>
      <c r="E463" s="3"/>
      <c r="F463" s="3"/>
    </row>
    <row r="464" ht="15.75" customHeight="1">
      <c r="A464" s="3"/>
      <c r="B464" s="3"/>
      <c r="C464" s="3"/>
      <c r="D464" s="3"/>
      <c r="E464" s="3"/>
      <c r="F464" s="3"/>
    </row>
    <row r="465" ht="15.75" customHeight="1">
      <c r="A465" s="3"/>
      <c r="B465" s="3"/>
      <c r="C465" s="3"/>
      <c r="D465" s="3"/>
      <c r="E465" s="3"/>
      <c r="F465" s="3"/>
    </row>
    <row r="466" ht="15.75" customHeight="1">
      <c r="A466" s="3"/>
      <c r="B466" s="3"/>
      <c r="C466" s="3"/>
      <c r="D466" s="3"/>
      <c r="E466" s="3"/>
      <c r="F466" s="3"/>
    </row>
    <row r="467" ht="15.75" customHeight="1">
      <c r="A467" s="3"/>
      <c r="B467" s="3"/>
      <c r="C467" s="3"/>
      <c r="D467" s="3"/>
      <c r="E467" s="3"/>
      <c r="F467" s="3"/>
    </row>
    <row r="468" ht="15.75" customHeight="1">
      <c r="A468" s="3"/>
      <c r="B468" s="3"/>
      <c r="C468" s="3"/>
      <c r="D468" s="3"/>
      <c r="E468" s="3"/>
      <c r="F468" s="3"/>
    </row>
    <row r="469" ht="15.75" customHeight="1">
      <c r="A469" s="3"/>
      <c r="B469" s="3"/>
      <c r="C469" s="3"/>
      <c r="D469" s="3"/>
      <c r="E469" s="3"/>
      <c r="F469" s="3"/>
    </row>
    <row r="470" ht="15.75" customHeight="1">
      <c r="A470" s="3"/>
      <c r="B470" s="3"/>
      <c r="C470" s="3"/>
      <c r="D470" s="3"/>
      <c r="E470" s="3"/>
      <c r="F470" s="3"/>
    </row>
    <row r="471" ht="15.75" customHeight="1">
      <c r="A471" s="3"/>
      <c r="B471" s="3"/>
      <c r="C471" s="3"/>
      <c r="D471" s="3"/>
      <c r="E471" s="3"/>
      <c r="F471" s="3"/>
    </row>
    <row r="472" ht="15.75" customHeight="1">
      <c r="A472" s="3"/>
      <c r="B472" s="3"/>
      <c r="C472" s="3"/>
      <c r="D472" s="3"/>
      <c r="E472" s="3"/>
      <c r="F472" s="3"/>
    </row>
    <row r="473" ht="15.75" customHeight="1">
      <c r="A473" s="3"/>
      <c r="B473" s="3"/>
      <c r="C473" s="3"/>
      <c r="D473" s="3"/>
      <c r="E473" s="3"/>
      <c r="F473" s="3"/>
    </row>
    <row r="474" ht="15.75" customHeight="1">
      <c r="A474" s="3"/>
      <c r="B474" s="3"/>
      <c r="C474" s="3"/>
      <c r="D474" s="3"/>
      <c r="E474" s="3"/>
      <c r="F474" s="3"/>
    </row>
    <row r="475" ht="15.75" customHeight="1">
      <c r="A475" s="3"/>
      <c r="B475" s="3"/>
      <c r="C475" s="3"/>
      <c r="D475" s="3"/>
      <c r="E475" s="3"/>
      <c r="F475" s="3"/>
    </row>
    <row r="476" ht="15.75" customHeight="1">
      <c r="A476" s="3"/>
      <c r="B476" s="3"/>
      <c r="C476" s="3"/>
      <c r="D476" s="3"/>
      <c r="E476" s="3"/>
      <c r="F476" s="3"/>
    </row>
    <row r="477" ht="15.75" customHeight="1">
      <c r="A477" s="3"/>
      <c r="B477" s="3"/>
      <c r="C477" s="3"/>
      <c r="D477" s="3"/>
      <c r="E477" s="3"/>
      <c r="F477" s="3"/>
    </row>
    <row r="478" ht="15.75" customHeight="1">
      <c r="A478" s="3"/>
      <c r="B478" s="3"/>
      <c r="C478" s="3"/>
      <c r="D478" s="3"/>
      <c r="E478" s="3"/>
      <c r="F478" s="3"/>
    </row>
    <row r="479" ht="15.75" customHeight="1">
      <c r="A479" s="3"/>
      <c r="B479" s="3"/>
      <c r="C479" s="3"/>
      <c r="D479" s="3"/>
      <c r="E479" s="3"/>
      <c r="F479" s="3"/>
    </row>
    <row r="480" ht="15.75" customHeight="1">
      <c r="A480" s="3"/>
      <c r="B480" s="3"/>
      <c r="C480" s="3"/>
      <c r="D480" s="3"/>
      <c r="E480" s="3"/>
      <c r="F480" s="3"/>
    </row>
    <row r="481" ht="15.75" customHeight="1">
      <c r="A481" s="3"/>
      <c r="B481" s="3"/>
      <c r="C481" s="3"/>
      <c r="D481" s="3"/>
      <c r="E481" s="3"/>
      <c r="F481" s="3"/>
    </row>
    <row r="482" ht="15.75" customHeight="1">
      <c r="A482" s="3"/>
      <c r="B482" s="3"/>
      <c r="C482" s="3"/>
      <c r="D482" s="3"/>
      <c r="E482" s="3"/>
      <c r="F482" s="3"/>
    </row>
    <row r="483" ht="15.75" customHeight="1">
      <c r="A483" s="3"/>
      <c r="B483" s="3"/>
      <c r="C483" s="3"/>
      <c r="D483" s="3"/>
      <c r="E483" s="3"/>
      <c r="F483" s="3"/>
    </row>
    <row r="484" ht="15.75" customHeight="1">
      <c r="A484" s="3"/>
      <c r="B484" s="3"/>
      <c r="C484" s="3"/>
      <c r="D484" s="3"/>
      <c r="E484" s="3"/>
      <c r="F484" s="3"/>
    </row>
    <row r="485" ht="15.75" customHeight="1">
      <c r="A485" s="3"/>
      <c r="B485" s="3"/>
      <c r="C485" s="3"/>
      <c r="D485" s="3"/>
      <c r="E485" s="3"/>
      <c r="F485" s="3"/>
    </row>
    <row r="486" ht="15.75" customHeight="1">
      <c r="A486" s="3"/>
      <c r="B486" s="3"/>
      <c r="C486" s="3"/>
      <c r="D486" s="3"/>
      <c r="E486" s="3"/>
      <c r="F486" s="3"/>
    </row>
    <row r="487" ht="15.75" customHeight="1">
      <c r="A487" s="3"/>
      <c r="B487" s="3"/>
      <c r="C487" s="3"/>
      <c r="D487" s="3"/>
      <c r="E487" s="3"/>
      <c r="F487" s="3"/>
    </row>
    <row r="488" ht="15.75" customHeight="1">
      <c r="A488" s="3"/>
      <c r="B488" s="3"/>
      <c r="C488" s="3"/>
      <c r="D488" s="3"/>
      <c r="E488" s="3"/>
      <c r="F488" s="3"/>
    </row>
    <row r="489" ht="15.75" customHeight="1">
      <c r="A489" s="3"/>
      <c r="B489" s="3"/>
      <c r="C489" s="3"/>
      <c r="D489" s="3"/>
      <c r="E489" s="3"/>
      <c r="F489" s="3"/>
    </row>
    <row r="490" ht="15.75" customHeight="1">
      <c r="A490" s="3"/>
      <c r="B490" s="3"/>
      <c r="C490" s="3"/>
      <c r="D490" s="3"/>
      <c r="E490" s="3"/>
      <c r="F490" s="3"/>
    </row>
    <row r="491" ht="15.75" customHeight="1">
      <c r="A491" s="3"/>
      <c r="B491" s="3"/>
      <c r="C491" s="3"/>
      <c r="D491" s="3"/>
      <c r="E491" s="3"/>
      <c r="F491" s="3"/>
    </row>
    <row r="492" ht="15.75" customHeight="1">
      <c r="A492" s="3"/>
      <c r="B492" s="3"/>
      <c r="C492" s="3"/>
      <c r="D492" s="3"/>
      <c r="E492" s="3"/>
      <c r="F492" s="3"/>
    </row>
    <row r="493" ht="15.75" customHeight="1">
      <c r="A493" s="3"/>
      <c r="B493" s="3"/>
      <c r="C493" s="3"/>
      <c r="D493" s="3"/>
      <c r="E493" s="3"/>
      <c r="F493" s="3"/>
    </row>
    <row r="494" ht="15.75" customHeight="1">
      <c r="A494" s="3"/>
      <c r="B494" s="3"/>
      <c r="C494" s="3"/>
      <c r="D494" s="3"/>
      <c r="E494" s="3"/>
      <c r="F494" s="3"/>
    </row>
    <row r="495" ht="15.75" customHeight="1">
      <c r="A495" s="3"/>
      <c r="B495" s="3"/>
      <c r="C495" s="3"/>
      <c r="D495" s="3"/>
      <c r="E495" s="3"/>
      <c r="F495" s="3"/>
    </row>
    <row r="496" ht="15.75" customHeight="1">
      <c r="A496" s="3"/>
      <c r="B496" s="3"/>
      <c r="C496" s="3"/>
      <c r="D496" s="3"/>
      <c r="E496" s="3"/>
      <c r="F496" s="3"/>
    </row>
    <row r="497" ht="15.75" customHeight="1">
      <c r="A497" s="3"/>
      <c r="B497" s="3"/>
      <c r="C497" s="3"/>
      <c r="D497" s="3"/>
      <c r="E497" s="3"/>
      <c r="F497" s="3"/>
    </row>
    <row r="498" ht="15.75" customHeight="1">
      <c r="A498" s="3"/>
      <c r="B498" s="3"/>
      <c r="C498" s="3"/>
      <c r="D498" s="3"/>
      <c r="E498" s="3"/>
      <c r="F498" s="3"/>
    </row>
    <row r="499" ht="15.75" customHeight="1">
      <c r="A499" s="3"/>
      <c r="B499" s="3"/>
      <c r="C499" s="3"/>
      <c r="D499" s="3"/>
      <c r="E499" s="3"/>
      <c r="F499" s="3"/>
    </row>
    <row r="500" ht="15.75" customHeight="1">
      <c r="A500" s="3"/>
      <c r="B500" s="3"/>
      <c r="C500" s="3"/>
      <c r="D500" s="3"/>
      <c r="E500" s="3"/>
      <c r="F500" s="3"/>
    </row>
    <row r="501" ht="15.75" customHeight="1">
      <c r="A501" s="3"/>
      <c r="B501" s="3"/>
      <c r="C501" s="3"/>
      <c r="D501" s="3"/>
      <c r="E501" s="3"/>
      <c r="F501" s="3"/>
    </row>
    <row r="502" ht="15.75" customHeight="1">
      <c r="A502" s="3"/>
      <c r="B502" s="3"/>
      <c r="C502" s="3"/>
      <c r="D502" s="3"/>
      <c r="E502" s="3"/>
      <c r="F502" s="3"/>
    </row>
    <row r="503" ht="15.75" customHeight="1">
      <c r="A503" s="3"/>
      <c r="B503" s="3"/>
      <c r="C503" s="3"/>
      <c r="D503" s="3"/>
      <c r="E503" s="3"/>
      <c r="F503" s="3"/>
    </row>
    <row r="504" ht="15.75" customHeight="1">
      <c r="A504" s="3"/>
      <c r="B504" s="3"/>
      <c r="C504" s="3"/>
      <c r="D504" s="3"/>
      <c r="E504" s="3"/>
      <c r="F504" s="3"/>
    </row>
    <row r="505" ht="15.75" customHeight="1">
      <c r="A505" s="3"/>
      <c r="B505" s="3"/>
      <c r="C505" s="3"/>
      <c r="D505" s="3"/>
      <c r="E505" s="3"/>
      <c r="F505" s="3"/>
    </row>
    <row r="506" ht="15.75" customHeight="1">
      <c r="A506" s="3"/>
      <c r="B506" s="3"/>
      <c r="C506" s="3"/>
      <c r="D506" s="3"/>
      <c r="E506" s="3"/>
      <c r="F506" s="3"/>
    </row>
    <row r="507" ht="15.75" customHeight="1">
      <c r="A507" s="3"/>
      <c r="B507" s="3"/>
      <c r="C507" s="3"/>
      <c r="D507" s="3"/>
      <c r="E507" s="3"/>
      <c r="F507" s="3"/>
    </row>
    <row r="508" ht="15.75" customHeight="1">
      <c r="A508" s="3"/>
      <c r="B508" s="3"/>
      <c r="C508" s="3"/>
      <c r="D508" s="3"/>
      <c r="E508" s="3"/>
      <c r="F508" s="3"/>
    </row>
    <row r="509" ht="15.75" customHeight="1">
      <c r="A509" s="3"/>
      <c r="B509" s="3"/>
      <c r="C509" s="3"/>
      <c r="D509" s="3"/>
      <c r="E509" s="3"/>
      <c r="F509" s="3"/>
    </row>
    <row r="510" ht="15.75" customHeight="1">
      <c r="A510" s="3"/>
      <c r="B510" s="3"/>
      <c r="C510" s="3"/>
      <c r="D510" s="3"/>
      <c r="E510" s="3"/>
      <c r="F510" s="3"/>
    </row>
    <row r="511" ht="15.75" customHeight="1">
      <c r="A511" s="3"/>
      <c r="B511" s="3"/>
      <c r="C511" s="3"/>
      <c r="D511" s="3"/>
      <c r="E511" s="3"/>
      <c r="F511" s="3"/>
    </row>
    <row r="512" ht="15.75" customHeight="1">
      <c r="A512" s="3"/>
      <c r="B512" s="3"/>
      <c r="C512" s="3"/>
      <c r="D512" s="3"/>
      <c r="E512" s="3"/>
      <c r="F512" s="3"/>
    </row>
    <row r="513" ht="15.75" customHeight="1">
      <c r="A513" s="3"/>
      <c r="B513" s="3"/>
      <c r="C513" s="3"/>
      <c r="D513" s="3"/>
      <c r="E513" s="3"/>
      <c r="F513" s="3"/>
    </row>
    <row r="514" ht="15.75" customHeight="1">
      <c r="A514" s="3"/>
      <c r="B514" s="3"/>
      <c r="C514" s="3"/>
      <c r="D514" s="3"/>
      <c r="E514" s="3"/>
      <c r="F514" s="3"/>
    </row>
    <row r="515" ht="15.75" customHeight="1">
      <c r="A515" s="3"/>
      <c r="B515" s="3"/>
      <c r="C515" s="3"/>
      <c r="D515" s="3"/>
      <c r="E515" s="3"/>
      <c r="F515" s="3"/>
    </row>
    <row r="516" ht="15.75" customHeight="1">
      <c r="A516" s="3"/>
      <c r="B516" s="3"/>
      <c r="C516" s="3"/>
      <c r="D516" s="3"/>
      <c r="E516" s="3"/>
      <c r="F516" s="3"/>
    </row>
    <row r="517" ht="15.75" customHeight="1">
      <c r="A517" s="3"/>
      <c r="B517" s="3"/>
      <c r="C517" s="3"/>
      <c r="D517" s="3"/>
      <c r="E517" s="3"/>
      <c r="F517" s="3"/>
    </row>
    <row r="518" ht="15.75" customHeight="1">
      <c r="A518" s="3"/>
      <c r="B518" s="3"/>
      <c r="C518" s="3"/>
      <c r="D518" s="3"/>
      <c r="E518" s="3"/>
      <c r="F518" s="3"/>
    </row>
    <row r="519" ht="15.75" customHeight="1">
      <c r="A519" s="3"/>
      <c r="B519" s="3"/>
      <c r="C519" s="3"/>
      <c r="D519" s="3"/>
      <c r="E519" s="3"/>
      <c r="F519" s="3"/>
    </row>
    <row r="520" ht="15.75" customHeight="1">
      <c r="A520" s="3"/>
      <c r="B520" s="3"/>
      <c r="C520" s="3"/>
      <c r="D520" s="3"/>
      <c r="E520" s="3"/>
      <c r="F520" s="3"/>
    </row>
    <row r="521" ht="15.75" customHeight="1">
      <c r="A521" s="3"/>
      <c r="B521" s="3"/>
      <c r="C521" s="3"/>
      <c r="D521" s="3"/>
      <c r="E521" s="3"/>
      <c r="F521" s="3"/>
    </row>
    <row r="522" ht="15.75" customHeight="1">
      <c r="A522" s="3"/>
      <c r="B522" s="3"/>
      <c r="C522" s="3"/>
      <c r="D522" s="3"/>
      <c r="E522" s="3"/>
      <c r="F522" s="3"/>
    </row>
    <row r="523" ht="15.75" customHeight="1">
      <c r="A523" s="3"/>
      <c r="B523" s="3"/>
      <c r="C523" s="3"/>
      <c r="D523" s="3"/>
      <c r="E523" s="3"/>
      <c r="F523" s="3"/>
    </row>
    <row r="524" ht="15.75" customHeight="1">
      <c r="A524" s="3"/>
      <c r="B524" s="3"/>
      <c r="C524" s="3"/>
      <c r="D524" s="3"/>
      <c r="E524" s="3"/>
      <c r="F524" s="3"/>
    </row>
    <row r="525" ht="15.75" customHeight="1">
      <c r="A525" s="3"/>
      <c r="B525" s="3"/>
      <c r="C525" s="3"/>
      <c r="D525" s="3"/>
      <c r="E525" s="3"/>
      <c r="F525" s="3"/>
    </row>
    <row r="526" ht="15.75" customHeight="1">
      <c r="A526" s="3"/>
      <c r="B526" s="3"/>
      <c r="C526" s="3"/>
      <c r="D526" s="3"/>
      <c r="E526" s="3"/>
      <c r="F526" s="3"/>
    </row>
    <row r="527" ht="15.75" customHeight="1">
      <c r="A527" s="3"/>
      <c r="B527" s="3"/>
      <c r="C527" s="3"/>
      <c r="D527" s="3"/>
      <c r="E527" s="3"/>
      <c r="F527" s="3"/>
    </row>
    <row r="528" ht="15.75" customHeight="1">
      <c r="A528" s="3"/>
      <c r="B528" s="3"/>
      <c r="C528" s="3"/>
      <c r="D528" s="3"/>
      <c r="E528" s="3"/>
      <c r="F528" s="3"/>
    </row>
    <row r="529" ht="15.75" customHeight="1">
      <c r="A529" s="3"/>
      <c r="B529" s="3"/>
      <c r="C529" s="3"/>
      <c r="D529" s="3"/>
      <c r="E529" s="3"/>
      <c r="F529" s="3"/>
    </row>
    <row r="530" ht="15.75" customHeight="1">
      <c r="A530" s="3"/>
      <c r="B530" s="3"/>
      <c r="C530" s="3"/>
      <c r="D530" s="3"/>
      <c r="E530" s="3"/>
      <c r="F530" s="3"/>
    </row>
    <row r="531" ht="15.75" customHeight="1">
      <c r="A531" s="3"/>
      <c r="B531" s="3"/>
      <c r="C531" s="3"/>
      <c r="D531" s="3"/>
      <c r="E531" s="3"/>
      <c r="F531" s="3"/>
    </row>
    <row r="532" ht="15.75" customHeight="1">
      <c r="A532" s="3"/>
      <c r="B532" s="3"/>
      <c r="C532" s="3"/>
      <c r="D532" s="3"/>
      <c r="E532" s="3"/>
      <c r="F532" s="3"/>
    </row>
    <row r="533" ht="15.75" customHeight="1">
      <c r="A533" s="3"/>
      <c r="B533" s="3"/>
      <c r="C533" s="3"/>
      <c r="D533" s="3"/>
      <c r="E533" s="3"/>
      <c r="F533" s="3"/>
    </row>
    <row r="534" ht="15.75" customHeight="1">
      <c r="A534" s="3"/>
      <c r="B534" s="3"/>
      <c r="C534" s="3"/>
      <c r="D534" s="3"/>
      <c r="E534" s="3"/>
      <c r="F534" s="3"/>
    </row>
    <row r="535" ht="15.75" customHeight="1">
      <c r="A535" s="3"/>
      <c r="B535" s="3"/>
      <c r="C535" s="3"/>
      <c r="D535" s="3"/>
      <c r="E535" s="3"/>
      <c r="F535" s="3"/>
    </row>
    <row r="536" ht="15.75" customHeight="1">
      <c r="A536" s="3"/>
      <c r="B536" s="3"/>
      <c r="C536" s="3"/>
      <c r="D536" s="3"/>
      <c r="E536" s="3"/>
      <c r="F536" s="3"/>
    </row>
    <row r="537" ht="15.75" customHeight="1">
      <c r="A537" s="3"/>
      <c r="B537" s="3"/>
      <c r="C537" s="3"/>
      <c r="D537" s="3"/>
      <c r="E537" s="3"/>
      <c r="F537" s="3"/>
    </row>
    <row r="538" ht="15.75" customHeight="1">
      <c r="A538" s="3"/>
      <c r="B538" s="3"/>
      <c r="C538" s="3"/>
      <c r="D538" s="3"/>
      <c r="E538" s="3"/>
      <c r="F538" s="3"/>
    </row>
    <row r="539" ht="15.75" customHeight="1">
      <c r="A539" s="3"/>
      <c r="B539" s="3"/>
      <c r="C539" s="3"/>
      <c r="D539" s="3"/>
      <c r="E539" s="3"/>
      <c r="F539" s="3"/>
    </row>
    <row r="540" ht="15.75" customHeight="1">
      <c r="A540" s="3"/>
      <c r="B540" s="3"/>
      <c r="C540" s="3"/>
      <c r="D540" s="3"/>
      <c r="E540" s="3"/>
      <c r="F540" s="3"/>
    </row>
    <row r="541" ht="15.75" customHeight="1">
      <c r="A541" s="3"/>
      <c r="B541" s="3"/>
      <c r="C541" s="3"/>
      <c r="D541" s="3"/>
      <c r="E541" s="3"/>
      <c r="F541" s="3"/>
    </row>
    <row r="542" ht="15.75" customHeight="1">
      <c r="A542" s="3"/>
      <c r="B542" s="3"/>
      <c r="C542" s="3"/>
      <c r="D542" s="3"/>
      <c r="E542" s="3"/>
      <c r="F542" s="3"/>
    </row>
    <row r="543" ht="15.75" customHeight="1">
      <c r="A543" s="3"/>
      <c r="B543" s="3"/>
      <c r="C543" s="3"/>
      <c r="D543" s="3"/>
      <c r="E543" s="3"/>
      <c r="F543" s="3"/>
    </row>
    <row r="544" ht="15.75" customHeight="1">
      <c r="A544" s="3"/>
      <c r="B544" s="3"/>
      <c r="C544" s="3"/>
      <c r="D544" s="3"/>
      <c r="E544" s="3"/>
      <c r="F544" s="3"/>
    </row>
    <row r="545" ht="15.75" customHeight="1">
      <c r="A545" s="3"/>
      <c r="B545" s="3"/>
      <c r="C545" s="3"/>
      <c r="D545" s="3"/>
      <c r="E545" s="3"/>
      <c r="F545" s="3"/>
    </row>
    <row r="546" ht="15.75" customHeight="1">
      <c r="A546" s="3"/>
      <c r="B546" s="3"/>
      <c r="C546" s="3"/>
      <c r="D546" s="3"/>
      <c r="E546" s="3"/>
      <c r="F546" s="3"/>
    </row>
    <row r="547" ht="15.75" customHeight="1">
      <c r="A547" s="3"/>
      <c r="B547" s="3"/>
      <c r="C547" s="3"/>
      <c r="D547" s="3"/>
      <c r="E547" s="3"/>
      <c r="F547" s="3"/>
    </row>
    <row r="548" ht="15.75" customHeight="1">
      <c r="A548" s="3"/>
      <c r="B548" s="3"/>
      <c r="C548" s="3"/>
      <c r="D548" s="3"/>
      <c r="E548" s="3"/>
      <c r="F548" s="3"/>
    </row>
    <row r="549" ht="15.75" customHeight="1">
      <c r="A549" s="3"/>
      <c r="B549" s="3"/>
      <c r="C549" s="3"/>
      <c r="D549" s="3"/>
      <c r="E549" s="3"/>
      <c r="F549" s="3"/>
    </row>
    <row r="550" ht="15.75" customHeight="1">
      <c r="A550" s="3"/>
      <c r="B550" s="3"/>
      <c r="C550" s="3"/>
      <c r="D550" s="3"/>
      <c r="E550" s="3"/>
      <c r="F550" s="3"/>
    </row>
    <row r="551" ht="15.75" customHeight="1">
      <c r="A551" s="3"/>
      <c r="B551" s="3"/>
      <c r="C551" s="3"/>
      <c r="D551" s="3"/>
      <c r="E551" s="3"/>
      <c r="F551" s="3"/>
    </row>
    <row r="552" ht="15.75" customHeight="1">
      <c r="A552" s="3"/>
      <c r="B552" s="3"/>
      <c r="C552" s="3"/>
      <c r="D552" s="3"/>
      <c r="E552" s="3"/>
      <c r="F552" s="3"/>
    </row>
    <row r="553" ht="15.75" customHeight="1">
      <c r="A553" s="3"/>
      <c r="B553" s="3"/>
      <c r="C553" s="3"/>
      <c r="D553" s="3"/>
      <c r="E553" s="3"/>
      <c r="F553" s="3"/>
    </row>
    <row r="554" ht="15.75" customHeight="1">
      <c r="A554" s="3"/>
      <c r="B554" s="3"/>
      <c r="C554" s="3"/>
      <c r="D554" s="3"/>
      <c r="E554" s="3"/>
      <c r="F554" s="3"/>
    </row>
    <row r="555" ht="15.75" customHeight="1">
      <c r="A555" s="3"/>
      <c r="B555" s="3"/>
      <c r="C555" s="3"/>
      <c r="D555" s="3"/>
      <c r="E555" s="3"/>
      <c r="F555" s="3"/>
    </row>
    <row r="556" ht="15.75" customHeight="1">
      <c r="A556" s="3"/>
      <c r="B556" s="3"/>
      <c r="C556" s="3"/>
      <c r="D556" s="3"/>
      <c r="E556" s="3"/>
      <c r="F556" s="3"/>
    </row>
    <row r="557" ht="15.75" customHeight="1">
      <c r="A557" s="3"/>
      <c r="B557" s="3"/>
      <c r="C557" s="3"/>
      <c r="D557" s="3"/>
      <c r="E557" s="3"/>
      <c r="F557" s="3"/>
    </row>
    <row r="558" ht="15.75" customHeight="1">
      <c r="A558" s="3"/>
      <c r="B558" s="3"/>
      <c r="C558" s="3"/>
      <c r="D558" s="3"/>
      <c r="E558" s="3"/>
      <c r="F558" s="3"/>
    </row>
    <row r="559" ht="15.75" customHeight="1">
      <c r="A559" s="3"/>
      <c r="B559" s="3"/>
      <c r="C559" s="3"/>
      <c r="D559" s="3"/>
      <c r="E559" s="3"/>
      <c r="F559" s="3"/>
    </row>
    <row r="560" ht="15.75" customHeight="1">
      <c r="A560" s="3"/>
      <c r="B560" s="3"/>
      <c r="C560" s="3"/>
      <c r="D560" s="3"/>
      <c r="E560" s="3"/>
      <c r="F560" s="3"/>
    </row>
    <row r="561" ht="15.75" customHeight="1">
      <c r="A561" s="3"/>
      <c r="B561" s="3"/>
      <c r="C561" s="3"/>
      <c r="D561" s="3"/>
      <c r="E561" s="3"/>
      <c r="F561" s="3"/>
    </row>
    <row r="562" ht="15.75" customHeight="1">
      <c r="A562" s="3"/>
      <c r="B562" s="3"/>
      <c r="C562" s="3"/>
      <c r="D562" s="3"/>
      <c r="E562" s="3"/>
      <c r="F562" s="3"/>
    </row>
    <row r="563" ht="15.75" customHeight="1">
      <c r="A563" s="3"/>
      <c r="B563" s="3"/>
      <c r="C563" s="3"/>
      <c r="D563" s="3"/>
      <c r="E563" s="3"/>
      <c r="F563" s="3"/>
    </row>
    <row r="564" ht="15.75" customHeight="1">
      <c r="A564" s="3"/>
      <c r="B564" s="3"/>
      <c r="C564" s="3"/>
      <c r="D564" s="3"/>
      <c r="E564" s="3"/>
      <c r="F564" s="3"/>
    </row>
    <row r="565" ht="15.75" customHeight="1">
      <c r="A565" s="3"/>
      <c r="B565" s="3"/>
      <c r="C565" s="3"/>
      <c r="D565" s="3"/>
      <c r="E565" s="3"/>
      <c r="F565" s="3"/>
    </row>
    <row r="566" ht="15.75" customHeight="1">
      <c r="A566" s="3"/>
      <c r="B566" s="3"/>
      <c r="C566" s="3"/>
      <c r="D566" s="3"/>
      <c r="E566" s="3"/>
      <c r="F566" s="3"/>
    </row>
    <row r="567" ht="15.75" customHeight="1">
      <c r="A567" s="3"/>
      <c r="B567" s="3"/>
      <c r="C567" s="3"/>
      <c r="D567" s="3"/>
      <c r="E567" s="3"/>
      <c r="F567" s="3"/>
    </row>
    <row r="568" ht="15.75" customHeight="1">
      <c r="A568" s="3"/>
      <c r="B568" s="3"/>
      <c r="C568" s="3"/>
      <c r="D568" s="3"/>
      <c r="E568" s="3"/>
      <c r="F568" s="3"/>
    </row>
    <row r="569" ht="15.75" customHeight="1">
      <c r="A569" s="3"/>
      <c r="B569" s="3"/>
      <c r="C569" s="3"/>
      <c r="D569" s="3"/>
      <c r="E569" s="3"/>
      <c r="F569" s="3"/>
    </row>
    <row r="570" ht="15.75" customHeight="1">
      <c r="A570" s="3"/>
      <c r="B570" s="3"/>
      <c r="C570" s="3"/>
      <c r="D570" s="3"/>
      <c r="E570" s="3"/>
      <c r="F570" s="3"/>
    </row>
    <row r="571" ht="15.75" customHeight="1">
      <c r="A571" s="3"/>
      <c r="B571" s="3"/>
      <c r="C571" s="3"/>
      <c r="D571" s="3"/>
      <c r="E571" s="3"/>
      <c r="F571" s="3"/>
    </row>
    <row r="572" ht="15.75" customHeight="1">
      <c r="A572" s="3"/>
      <c r="B572" s="3"/>
      <c r="C572" s="3"/>
      <c r="D572" s="3"/>
      <c r="E572" s="3"/>
      <c r="F572" s="3"/>
    </row>
    <row r="573" ht="15.75" customHeight="1">
      <c r="A573" s="3"/>
      <c r="B573" s="3"/>
      <c r="C573" s="3"/>
      <c r="D573" s="3"/>
      <c r="E573" s="3"/>
      <c r="F573" s="3"/>
    </row>
    <row r="574" ht="15.75" customHeight="1">
      <c r="A574" s="3"/>
      <c r="B574" s="3"/>
      <c r="C574" s="3"/>
      <c r="D574" s="3"/>
      <c r="E574" s="3"/>
      <c r="F574" s="3"/>
    </row>
    <row r="575" ht="15.75" customHeight="1">
      <c r="A575" s="3"/>
      <c r="B575" s="3"/>
      <c r="C575" s="3"/>
      <c r="D575" s="3"/>
      <c r="E575" s="3"/>
      <c r="F575" s="3"/>
    </row>
    <row r="576" ht="15.75" customHeight="1">
      <c r="A576" s="3"/>
      <c r="B576" s="3"/>
      <c r="C576" s="3"/>
      <c r="D576" s="3"/>
      <c r="E576" s="3"/>
      <c r="F576" s="3"/>
    </row>
    <row r="577" ht="15.75" customHeight="1">
      <c r="A577" s="3"/>
      <c r="B577" s="3"/>
      <c r="C577" s="3"/>
      <c r="D577" s="3"/>
      <c r="E577" s="3"/>
      <c r="F577" s="3"/>
    </row>
    <row r="578" ht="15.75" customHeight="1">
      <c r="A578" s="3"/>
      <c r="B578" s="3"/>
      <c r="C578" s="3"/>
      <c r="D578" s="3"/>
      <c r="E578" s="3"/>
      <c r="F578" s="3"/>
    </row>
    <row r="579" ht="15.75" customHeight="1">
      <c r="A579" s="3"/>
      <c r="B579" s="3"/>
      <c r="C579" s="3"/>
      <c r="D579" s="3"/>
      <c r="E579" s="3"/>
      <c r="F579" s="3"/>
    </row>
    <row r="580" ht="15.75" customHeight="1">
      <c r="A580" s="3"/>
      <c r="B580" s="3"/>
      <c r="C580" s="3"/>
      <c r="D580" s="3"/>
      <c r="E580" s="3"/>
      <c r="F580" s="3"/>
    </row>
    <row r="581" ht="15.75" customHeight="1">
      <c r="A581" s="3"/>
      <c r="B581" s="3"/>
      <c r="C581" s="3"/>
      <c r="D581" s="3"/>
      <c r="E581" s="3"/>
      <c r="F581" s="3"/>
    </row>
    <row r="582" ht="15.75" customHeight="1">
      <c r="A582" s="3"/>
      <c r="B582" s="3"/>
      <c r="C582" s="3"/>
      <c r="D582" s="3"/>
      <c r="E582" s="3"/>
      <c r="F582" s="3"/>
    </row>
    <row r="583" ht="15.75" customHeight="1">
      <c r="A583" s="3"/>
      <c r="B583" s="3"/>
      <c r="C583" s="3"/>
      <c r="D583" s="3"/>
      <c r="E583" s="3"/>
      <c r="F583" s="3"/>
    </row>
    <row r="584" ht="15.75" customHeight="1">
      <c r="A584" s="3"/>
      <c r="B584" s="3"/>
      <c r="C584" s="3"/>
      <c r="D584" s="3"/>
      <c r="E584" s="3"/>
      <c r="F584" s="3"/>
    </row>
    <row r="585" ht="15.75" customHeight="1">
      <c r="A585" s="3"/>
      <c r="B585" s="3"/>
      <c r="C585" s="3"/>
      <c r="D585" s="3"/>
      <c r="E585" s="3"/>
      <c r="F585" s="3"/>
    </row>
    <row r="586" ht="15.75" customHeight="1">
      <c r="A586" s="3"/>
      <c r="B586" s="3"/>
      <c r="C586" s="3"/>
      <c r="D586" s="3"/>
      <c r="E586" s="3"/>
      <c r="F586" s="3"/>
    </row>
    <row r="587" ht="15.75" customHeight="1">
      <c r="A587" s="3"/>
      <c r="B587" s="3"/>
      <c r="C587" s="3"/>
      <c r="D587" s="3"/>
      <c r="E587" s="3"/>
      <c r="F587" s="3"/>
    </row>
    <row r="588" ht="15.75" customHeight="1">
      <c r="A588" s="3"/>
      <c r="B588" s="3"/>
      <c r="C588" s="3"/>
      <c r="D588" s="3"/>
      <c r="E588" s="3"/>
      <c r="F588" s="3"/>
    </row>
    <row r="589" ht="15.75" customHeight="1">
      <c r="A589" s="3"/>
      <c r="B589" s="3"/>
      <c r="C589" s="3"/>
      <c r="D589" s="3"/>
      <c r="E589" s="3"/>
      <c r="F589" s="3"/>
    </row>
    <row r="590" ht="15.75" customHeight="1">
      <c r="A590" s="3"/>
      <c r="B590" s="3"/>
      <c r="C590" s="3"/>
      <c r="D590" s="3"/>
      <c r="E590" s="3"/>
      <c r="F590" s="3"/>
    </row>
    <row r="591" ht="15.75" customHeight="1">
      <c r="A591" s="3"/>
      <c r="B591" s="3"/>
      <c r="C591" s="3"/>
      <c r="D591" s="3"/>
      <c r="E591" s="3"/>
      <c r="F591" s="3"/>
    </row>
    <row r="592" ht="15.75" customHeight="1">
      <c r="A592" s="3"/>
      <c r="B592" s="3"/>
      <c r="C592" s="3"/>
      <c r="D592" s="3"/>
      <c r="E592" s="3"/>
      <c r="F592" s="3"/>
    </row>
    <row r="593" ht="15.75" customHeight="1">
      <c r="A593" s="3"/>
      <c r="B593" s="3"/>
      <c r="C593" s="3"/>
      <c r="D593" s="3"/>
      <c r="E593" s="3"/>
      <c r="F593" s="3"/>
    </row>
    <row r="594" ht="15.75" customHeight="1">
      <c r="A594" s="3"/>
      <c r="B594" s="3"/>
      <c r="C594" s="3"/>
      <c r="D594" s="3"/>
      <c r="E594" s="3"/>
      <c r="F594" s="3"/>
    </row>
    <row r="595" ht="15.75" customHeight="1">
      <c r="A595" s="3"/>
      <c r="B595" s="3"/>
      <c r="C595" s="3"/>
      <c r="D595" s="3"/>
      <c r="E595" s="3"/>
      <c r="F595" s="3"/>
    </row>
    <row r="596" ht="15.75" customHeight="1">
      <c r="A596" s="3"/>
      <c r="B596" s="3"/>
      <c r="C596" s="3"/>
      <c r="D596" s="3"/>
      <c r="E596" s="3"/>
      <c r="F596" s="3"/>
    </row>
    <row r="597" ht="15.75" customHeight="1">
      <c r="A597" s="3"/>
      <c r="B597" s="3"/>
      <c r="C597" s="3"/>
      <c r="D597" s="3"/>
      <c r="E597" s="3"/>
      <c r="F597" s="3"/>
    </row>
    <row r="598" ht="15.75" customHeight="1">
      <c r="A598" s="3"/>
      <c r="B598" s="3"/>
      <c r="C598" s="3"/>
      <c r="D598" s="3"/>
      <c r="E598" s="3"/>
      <c r="F598" s="3"/>
    </row>
    <row r="599" ht="15.75" customHeight="1">
      <c r="A599" s="3"/>
      <c r="B599" s="3"/>
      <c r="C599" s="3"/>
      <c r="D599" s="3"/>
      <c r="E599" s="3"/>
      <c r="F599" s="3"/>
    </row>
    <row r="600" ht="15.75" customHeight="1">
      <c r="A600" s="3"/>
      <c r="B600" s="3"/>
      <c r="C600" s="3"/>
      <c r="D600" s="3"/>
      <c r="E600" s="3"/>
      <c r="F600" s="3"/>
    </row>
    <row r="601" ht="15.75" customHeight="1">
      <c r="A601" s="3"/>
      <c r="B601" s="3"/>
      <c r="C601" s="3"/>
      <c r="D601" s="3"/>
      <c r="E601" s="3"/>
      <c r="F601" s="3"/>
    </row>
    <row r="602" ht="15.75" customHeight="1">
      <c r="A602" s="3"/>
      <c r="B602" s="3"/>
      <c r="C602" s="3"/>
      <c r="D602" s="3"/>
      <c r="E602" s="3"/>
      <c r="F602" s="3"/>
    </row>
    <row r="603" ht="15.75" customHeight="1">
      <c r="A603" s="3"/>
      <c r="B603" s="3"/>
      <c r="C603" s="3"/>
      <c r="D603" s="3"/>
      <c r="E603" s="3"/>
      <c r="F603" s="3"/>
    </row>
    <row r="604" ht="15.75" customHeight="1">
      <c r="A604" s="3"/>
      <c r="B604" s="3"/>
      <c r="C604" s="3"/>
      <c r="D604" s="3"/>
      <c r="E604" s="3"/>
      <c r="F604" s="3"/>
    </row>
    <row r="605" ht="15.75" customHeight="1">
      <c r="A605" s="3"/>
      <c r="B605" s="3"/>
      <c r="C605" s="3"/>
      <c r="D605" s="3"/>
      <c r="E605" s="3"/>
      <c r="F605" s="3"/>
    </row>
    <row r="606" ht="15.75" customHeight="1">
      <c r="A606" s="3"/>
      <c r="B606" s="3"/>
      <c r="C606" s="3"/>
      <c r="D606" s="3"/>
      <c r="E606" s="3"/>
      <c r="F606" s="3"/>
    </row>
    <row r="607" ht="15.75" customHeight="1">
      <c r="A607" s="3"/>
      <c r="B607" s="3"/>
      <c r="C607" s="3"/>
      <c r="D607" s="3"/>
      <c r="E607" s="3"/>
      <c r="F607" s="3"/>
    </row>
    <row r="608" ht="15.75" customHeight="1">
      <c r="A608" s="3"/>
      <c r="B608" s="3"/>
      <c r="C608" s="3"/>
      <c r="D608" s="3"/>
      <c r="E608" s="3"/>
      <c r="F608" s="3"/>
    </row>
    <row r="609" ht="15.75" customHeight="1">
      <c r="A609" s="3"/>
      <c r="B609" s="3"/>
      <c r="C609" s="3"/>
      <c r="D609" s="3"/>
      <c r="E609" s="3"/>
      <c r="F609" s="3"/>
    </row>
    <row r="610" ht="15.75" customHeight="1">
      <c r="A610" s="3"/>
      <c r="B610" s="3"/>
      <c r="C610" s="3"/>
      <c r="D610" s="3"/>
      <c r="E610" s="3"/>
      <c r="F610" s="3"/>
    </row>
    <row r="611" ht="15.75" customHeight="1">
      <c r="A611" s="3"/>
      <c r="B611" s="3"/>
      <c r="C611" s="3"/>
      <c r="D611" s="3"/>
      <c r="E611" s="3"/>
      <c r="F611" s="3"/>
    </row>
    <row r="612" ht="15.75" customHeight="1">
      <c r="A612" s="3"/>
      <c r="B612" s="3"/>
      <c r="C612" s="3"/>
      <c r="D612" s="3"/>
      <c r="E612" s="3"/>
      <c r="F612" s="3"/>
    </row>
    <row r="613" ht="15.75" customHeight="1">
      <c r="A613" s="3"/>
      <c r="B613" s="3"/>
      <c r="C613" s="3"/>
      <c r="D613" s="3"/>
      <c r="E613" s="3"/>
      <c r="F613" s="3"/>
    </row>
    <row r="614" ht="15.75" customHeight="1">
      <c r="A614" s="3"/>
      <c r="B614" s="3"/>
      <c r="C614" s="3"/>
      <c r="D614" s="3"/>
      <c r="E614" s="3"/>
      <c r="F614" s="3"/>
    </row>
    <row r="615" ht="15.75" customHeight="1">
      <c r="A615" s="3"/>
      <c r="B615" s="3"/>
      <c r="C615" s="3"/>
      <c r="D615" s="3"/>
      <c r="E615" s="3"/>
      <c r="F615" s="3"/>
    </row>
    <row r="616" ht="15.75" customHeight="1">
      <c r="A616" s="3"/>
      <c r="B616" s="3"/>
      <c r="C616" s="3"/>
      <c r="D616" s="3"/>
      <c r="E616" s="3"/>
      <c r="F616" s="3"/>
    </row>
    <row r="617" ht="15.75" customHeight="1">
      <c r="A617" s="3"/>
      <c r="B617" s="3"/>
      <c r="C617" s="3"/>
      <c r="D617" s="3"/>
      <c r="E617" s="3"/>
      <c r="F617" s="3"/>
    </row>
    <row r="618" ht="15.75" customHeight="1">
      <c r="A618" s="3"/>
      <c r="B618" s="3"/>
      <c r="C618" s="3"/>
      <c r="D618" s="3"/>
      <c r="E618" s="3"/>
      <c r="F618" s="3"/>
    </row>
    <row r="619" ht="15.75" customHeight="1">
      <c r="A619" s="3"/>
      <c r="B619" s="3"/>
      <c r="C619" s="3"/>
      <c r="D619" s="3"/>
      <c r="E619" s="3"/>
      <c r="F619" s="3"/>
    </row>
    <row r="620" ht="15.75" customHeight="1">
      <c r="A620" s="3"/>
      <c r="B620" s="3"/>
      <c r="C620" s="3"/>
      <c r="D620" s="3"/>
      <c r="E620" s="3"/>
      <c r="F620" s="3"/>
    </row>
    <row r="621" ht="15.75" customHeight="1">
      <c r="A621" s="3"/>
      <c r="B621" s="3"/>
      <c r="C621" s="3"/>
      <c r="D621" s="3"/>
      <c r="E621" s="3"/>
      <c r="F621" s="3"/>
    </row>
    <row r="622" ht="15.75" customHeight="1">
      <c r="A622" s="3"/>
      <c r="B622" s="3"/>
      <c r="C622" s="3"/>
      <c r="D622" s="3"/>
      <c r="E622" s="3"/>
      <c r="F622" s="3"/>
    </row>
    <row r="623" ht="15.75" customHeight="1">
      <c r="A623" s="3"/>
      <c r="B623" s="3"/>
      <c r="C623" s="3"/>
      <c r="D623" s="3"/>
      <c r="E623" s="3"/>
      <c r="F623" s="3"/>
    </row>
    <row r="624" ht="15.75" customHeight="1">
      <c r="A624" s="3"/>
      <c r="B624" s="3"/>
      <c r="C624" s="3"/>
      <c r="D624" s="3"/>
      <c r="E624" s="3"/>
      <c r="F624" s="3"/>
    </row>
    <row r="625" ht="15.75" customHeight="1">
      <c r="A625" s="3"/>
      <c r="B625" s="3"/>
      <c r="C625" s="3"/>
      <c r="D625" s="3"/>
      <c r="E625" s="3"/>
      <c r="F625" s="3"/>
    </row>
    <row r="626" ht="15.75" customHeight="1">
      <c r="A626" s="3"/>
      <c r="B626" s="3"/>
      <c r="C626" s="3"/>
      <c r="D626" s="3"/>
      <c r="E626" s="3"/>
      <c r="F626" s="3"/>
    </row>
    <row r="627" ht="15.75" customHeight="1">
      <c r="A627" s="3"/>
      <c r="B627" s="3"/>
      <c r="C627" s="3"/>
      <c r="D627" s="3"/>
      <c r="E627" s="3"/>
      <c r="F627" s="3"/>
    </row>
    <row r="628" ht="15.75" customHeight="1">
      <c r="A628" s="3"/>
      <c r="B628" s="3"/>
      <c r="C628" s="3"/>
      <c r="D628" s="3"/>
      <c r="E628" s="3"/>
      <c r="F628" s="3"/>
    </row>
    <row r="629" ht="15.75" customHeight="1">
      <c r="A629" s="3"/>
      <c r="B629" s="3"/>
      <c r="C629" s="3"/>
      <c r="D629" s="3"/>
      <c r="E629" s="3"/>
      <c r="F629" s="3"/>
    </row>
    <row r="630" ht="15.75" customHeight="1">
      <c r="A630" s="3"/>
      <c r="B630" s="3"/>
      <c r="C630" s="3"/>
      <c r="D630" s="3"/>
      <c r="E630" s="3"/>
      <c r="F630" s="3"/>
    </row>
    <row r="631" ht="15.75" customHeight="1">
      <c r="A631" s="3"/>
      <c r="B631" s="3"/>
      <c r="C631" s="3"/>
      <c r="D631" s="3"/>
      <c r="E631" s="3"/>
      <c r="F631" s="3"/>
    </row>
    <row r="632" ht="15.75" customHeight="1">
      <c r="A632" s="3"/>
      <c r="B632" s="3"/>
      <c r="C632" s="3"/>
      <c r="D632" s="3"/>
      <c r="E632" s="3"/>
      <c r="F632" s="3"/>
    </row>
    <row r="633" ht="15.75" customHeight="1">
      <c r="A633" s="3"/>
      <c r="B633" s="3"/>
      <c r="C633" s="3"/>
      <c r="D633" s="3"/>
      <c r="E633" s="3"/>
      <c r="F633" s="3"/>
    </row>
    <row r="634" ht="15.75" customHeight="1">
      <c r="A634" s="3"/>
      <c r="B634" s="3"/>
      <c r="C634" s="3"/>
      <c r="D634" s="3"/>
      <c r="E634" s="3"/>
      <c r="F634" s="3"/>
    </row>
    <row r="635" ht="15.75" customHeight="1">
      <c r="A635" s="3"/>
      <c r="B635" s="3"/>
      <c r="C635" s="3"/>
      <c r="D635" s="3"/>
      <c r="E635" s="3"/>
      <c r="F635" s="3"/>
    </row>
    <row r="636" ht="15.75" customHeight="1">
      <c r="A636" s="3"/>
      <c r="B636" s="3"/>
      <c r="C636" s="3"/>
      <c r="D636" s="3"/>
      <c r="E636" s="3"/>
      <c r="F636" s="3"/>
    </row>
    <row r="637" ht="15.75" customHeight="1">
      <c r="A637" s="3"/>
      <c r="B637" s="3"/>
      <c r="C637" s="3"/>
      <c r="D637" s="3"/>
      <c r="E637" s="3"/>
      <c r="F637" s="3"/>
    </row>
    <row r="638" ht="15.75" customHeight="1">
      <c r="A638" s="3"/>
      <c r="B638" s="3"/>
      <c r="C638" s="3"/>
      <c r="D638" s="3"/>
      <c r="E638" s="3"/>
      <c r="F638" s="3"/>
    </row>
    <row r="639" ht="15.75" customHeight="1">
      <c r="A639" s="3"/>
      <c r="B639" s="3"/>
      <c r="C639" s="3"/>
      <c r="D639" s="3"/>
      <c r="E639" s="3"/>
      <c r="F639" s="3"/>
    </row>
    <row r="640" ht="15.75" customHeight="1">
      <c r="A640" s="3"/>
      <c r="B640" s="3"/>
      <c r="C640" s="3"/>
      <c r="D640" s="3"/>
      <c r="E640" s="3"/>
      <c r="F640" s="3"/>
    </row>
    <row r="641" ht="15.75" customHeight="1">
      <c r="A641" s="3"/>
      <c r="B641" s="3"/>
      <c r="C641" s="3"/>
      <c r="D641" s="3"/>
      <c r="E641" s="3"/>
      <c r="F641" s="3"/>
    </row>
    <row r="642" ht="15.75" customHeight="1">
      <c r="A642" s="3"/>
      <c r="B642" s="3"/>
      <c r="C642" s="3"/>
      <c r="D642" s="3"/>
      <c r="E642" s="3"/>
      <c r="F642" s="3"/>
    </row>
    <row r="643" ht="15.75" customHeight="1">
      <c r="A643" s="3"/>
      <c r="B643" s="3"/>
      <c r="C643" s="3"/>
      <c r="D643" s="3"/>
      <c r="E643" s="3"/>
      <c r="F643" s="3"/>
    </row>
    <row r="644" ht="15.75" customHeight="1">
      <c r="A644" s="3"/>
      <c r="B644" s="3"/>
      <c r="C644" s="3"/>
      <c r="D644" s="3"/>
      <c r="E644" s="3"/>
      <c r="F644" s="3"/>
    </row>
    <row r="645" ht="15.75" customHeight="1">
      <c r="A645" s="3"/>
      <c r="B645" s="3"/>
      <c r="C645" s="3"/>
      <c r="D645" s="3"/>
      <c r="E645" s="3"/>
      <c r="F645" s="3"/>
    </row>
    <row r="646" ht="15.75" customHeight="1">
      <c r="A646" s="3"/>
      <c r="B646" s="3"/>
      <c r="C646" s="3"/>
      <c r="D646" s="3"/>
      <c r="E646" s="3"/>
      <c r="F646" s="3"/>
    </row>
    <row r="647" ht="15.75" customHeight="1">
      <c r="A647" s="3"/>
      <c r="B647" s="3"/>
      <c r="C647" s="3"/>
      <c r="D647" s="3"/>
      <c r="E647" s="3"/>
      <c r="F647" s="3"/>
    </row>
    <row r="648" ht="15.75" customHeight="1">
      <c r="A648" s="3"/>
      <c r="B648" s="3"/>
      <c r="C648" s="3"/>
      <c r="D648" s="3"/>
      <c r="E648" s="3"/>
      <c r="F648" s="3"/>
    </row>
    <row r="649" ht="15.75" customHeight="1">
      <c r="A649" s="3"/>
      <c r="B649" s="3"/>
      <c r="C649" s="3"/>
      <c r="D649" s="3"/>
      <c r="E649" s="3"/>
      <c r="F649" s="3"/>
    </row>
    <row r="650" ht="15.75" customHeight="1">
      <c r="A650" s="3"/>
      <c r="B650" s="3"/>
      <c r="C650" s="3"/>
      <c r="D650" s="3"/>
      <c r="E650" s="3"/>
      <c r="F650" s="3"/>
    </row>
    <row r="651" ht="15.75" customHeight="1">
      <c r="A651" s="3"/>
      <c r="B651" s="3"/>
      <c r="C651" s="3"/>
      <c r="D651" s="3"/>
      <c r="E651" s="3"/>
      <c r="F651" s="3"/>
    </row>
    <row r="652" ht="15.75" customHeight="1">
      <c r="A652" s="3"/>
      <c r="B652" s="3"/>
      <c r="C652" s="3"/>
      <c r="D652" s="3"/>
      <c r="E652" s="3"/>
      <c r="F652" s="3"/>
    </row>
    <row r="653" ht="15.75" customHeight="1">
      <c r="A653" s="3"/>
      <c r="B653" s="3"/>
      <c r="C653" s="3"/>
      <c r="D653" s="3"/>
      <c r="E653" s="3"/>
      <c r="F653" s="3"/>
    </row>
    <row r="654" ht="15.75" customHeight="1">
      <c r="A654" s="3"/>
      <c r="B654" s="3"/>
      <c r="C654" s="3"/>
      <c r="D654" s="3"/>
      <c r="E654" s="3"/>
      <c r="F654" s="3"/>
    </row>
    <row r="655" ht="15.75" customHeight="1">
      <c r="A655" s="3"/>
      <c r="B655" s="3"/>
      <c r="C655" s="3"/>
      <c r="D655" s="3"/>
      <c r="E655" s="3"/>
      <c r="F655" s="3"/>
    </row>
    <row r="656" ht="15.75" customHeight="1">
      <c r="A656" s="3"/>
      <c r="B656" s="3"/>
      <c r="C656" s="3"/>
      <c r="D656" s="3"/>
      <c r="E656" s="3"/>
      <c r="F656" s="3"/>
    </row>
    <row r="657" ht="15.75" customHeight="1">
      <c r="A657" s="3"/>
      <c r="B657" s="3"/>
      <c r="C657" s="3"/>
      <c r="D657" s="3"/>
      <c r="E657" s="3"/>
      <c r="F657" s="3"/>
    </row>
    <row r="658" ht="15.75" customHeight="1">
      <c r="A658" s="3"/>
      <c r="B658" s="3"/>
      <c r="C658" s="3"/>
      <c r="D658" s="3"/>
      <c r="E658" s="3"/>
      <c r="F658" s="3"/>
    </row>
    <row r="659" ht="15.75" customHeight="1">
      <c r="A659" s="3"/>
      <c r="B659" s="3"/>
      <c r="C659" s="3"/>
      <c r="D659" s="3"/>
      <c r="E659" s="3"/>
      <c r="F659" s="3"/>
    </row>
    <row r="660" ht="15.75" customHeight="1">
      <c r="A660" s="3"/>
      <c r="B660" s="3"/>
      <c r="C660" s="3"/>
      <c r="D660" s="3"/>
      <c r="E660" s="3"/>
      <c r="F660" s="3"/>
    </row>
    <row r="661" ht="15.75" customHeight="1">
      <c r="A661" s="3"/>
      <c r="B661" s="3"/>
      <c r="C661" s="3"/>
      <c r="D661" s="3"/>
      <c r="E661" s="3"/>
      <c r="F661" s="3"/>
    </row>
    <row r="662" ht="15.75" customHeight="1">
      <c r="A662" s="3"/>
      <c r="B662" s="3"/>
      <c r="C662" s="3"/>
      <c r="D662" s="3"/>
      <c r="E662" s="3"/>
      <c r="F662" s="3"/>
    </row>
    <row r="663" ht="15.75" customHeight="1">
      <c r="A663" s="3"/>
      <c r="B663" s="3"/>
      <c r="C663" s="3"/>
      <c r="D663" s="3"/>
      <c r="E663" s="3"/>
      <c r="F663" s="3"/>
    </row>
    <row r="664" ht="15.75" customHeight="1">
      <c r="A664" s="3"/>
      <c r="B664" s="3"/>
      <c r="C664" s="3"/>
      <c r="D664" s="3"/>
      <c r="E664" s="3"/>
      <c r="F664" s="3"/>
    </row>
    <row r="665" ht="15.75" customHeight="1">
      <c r="A665" s="3"/>
      <c r="B665" s="3"/>
      <c r="C665" s="3"/>
      <c r="D665" s="3"/>
      <c r="E665" s="3"/>
      <c r="F665" s="3"/>
    </row>
    <row r="666" ht="15.75" customHeight="1">
      <c r="A666" s="3"/>
      <c r="B666" s="3"/>
      <c r="C666" s="3"/>
      <c r="D666" s="3"/>
      <c r="E666" s="3"/>
      <c r="F666" s="3"/>
    </row>
    <row r="667" ht="15.75" customHeight="1">
      <c r="A667" s="3"/>
      <c r="B667" s="3"/>
      <c r="C667" s="3"/>
      <c r="D667" s="3"/>
      <c r="E667" s="3"/>
      <c r="F667" s="3"/>
    </row>
    <row r="668" ht="15.75" customHeight="1">
      <c r="A668" s="3"/>
      <c r="B668" s="3"/>
      <c r="C668" s="3"/>
      <c r="D668" s="3"/>
      <c r="E668" s="3"/>
      <c r="F668" s="3"/>
    </row>
    <row r="669" ht="15.75" customHeight="1">
      <c r="A669" s="3"/>
      <c r="B669" s="3"/>
      <c r="C669" s="3"/>
      <c r="D669" s="3"/>
      <c r="E669" s="3"/>
      <c r="F669" s="3"/>
    </row>
    <row r="670" ht="15.75" customHeight="1">
      <c r="A670" s="3"/>
      <c r="B670" s="3"/>
      <c r="C670" s="3"/>
      <c r="D670" s="3"/>
      <c r="E670" s="3"/>
      <c r="F670" s="3"/>
    </row>
    <row r="671" ht="15.75" customHeight="1">
      <c r="A671" s="3"/>
      <c r="B671" s="3"/>
      <c r="C671" s="3"/>
      <c r="D671" s="3"/>
      <c r="E671" s="3"/>
      <c r="F671" s="3"/>
    </row>
    <row r="672" ht="15.75" customHeight="1">
      <c r="A672" s="3"/>
      <c r="B672" s="3"/>
      <c r="C672" s="3"/>
      <c r="D672" s="3"/>
      <c r="E672" s="3"/>
      <c r="F672" s="3"/>
    </row>
    <row r="673" ht="15.75" customHeight="1">
      <c r="A673" s="3"/>
      <c r="B673" s="3"/>
      <c r="C673" s="3"/>
      <c r="D673" s="3"/>
      <c r="E673" s="3"/>
      <c r="F673" s="3"/>
    </row>
    <row r="674" ht="15.75" customHeight="1">
      <c r="A674" s="3"/>
      <c r="B674" s="3"/>
      <c r="C674" s="3"/>
      <c r="D674" s="3"/>
      <c r="E674" s="3"/>
      <c r="F674" s="3"/>
    </row>
    <row r="675" ht="15.75" customHeight="1">
      <c r="A675" s="3"/>
      <c r="B675" s="3"/>
      <c r="C675" s="3"/>
      <c r="D675" s="3"/>
      <c r="E675" s="3"/>
      <c r="F675" s="3"/>
    </row>
    <row r="676" ht="15.75" customHeight="1">
      <c r="A676" s="3"/>
      <c r="B676" s="3"/>
      <c r="C676" s="3"/>
      <c r="D676" s="3"/>
      <c r="E676" s="3"/>
      <c r="F676" s="3"/>
    </row>
    <row r="677" ht="15.75" customHeight="1">
      <c r="A677" s="3"/>
      <c r="B677" s="3"/>
      <c r="C677" s="3"/>
      <c r="D677" s="3"/>
      <c r="E677" s="3"/>
      <c r="F677" s="3"/>
    </row>
    <row r="678" ht="15.75" customHeight="1">
      <c r="A678" s="3"/>
      <c r="B678" s="3"/>
      <c r="C678" s="3"/>
      <c r="D678" s="3"/>
      <c r="E678" s="3"/>
      <c r="F678" s="3"/>
    </row>
    <row r="679" ht="15.75" customHeight="1">
      <c r="A679" s="3"/>
      <c r="B679" s="3"/>
      <c r="C679" s="3"/>
      <c r="D679" s="3"/>
      <c r="E679" s="3"/>
      <c r="F679" s="3"/>
    </row>
    <row r="680" ht="15.75" customHeight="1">
      <c r="A680" s="3"/>
      <c r="B680" s="3"/>
      <c r="C680" s="3"/>
      <c r="D680" s="3"/>
      <c r="E680" s="3"/>
      <c r="F680" s="3"/>
    </row>
    <row r="681" ht="15.75" customHeight="1">
      <c r="A681" s="3"/>
      <c r="B681" s="3"/>
      <c r="C681" s="3"/>
      <c r="D681" s="3"/>
      <c r="E681" s="3"/>
      <c r="F681" s="3"/>
    </row>
    <row r="682" ht="15.75" customHeight="1">
      <c r="A682" s="3"/>
      <c r="B682" s="3"/>
      <c r="C682" s="3"/>
      <c r="D682" s="3"/>
      <c r="E682" s="3"/>
      <c r="F682" s="3"/>
    </row>
    <row r="683" ht="15.75" customHeight="1">
      <c r="A683" s="3"/>
      <c r="B683" s="3"/>
      <c r="C683" s="3"/>
      <c r="D683" s="3"/>
      <c r="E683" s="3"/>
      <c r="F683" s="3"/>
    </row>
    <row r="684" ht="15.75" customHeight="1">
      <c r="A684" s="3"/>
      <c r="B684" s="3"/>
      <c r="C684" s="3"/>
      <c r="D684" s="3"/>
      <c r="E684" s="3"/>
      <c r="F684" s="3"/>
    </row>
    <row r="685" ht="15.75" customHeight="1">
      <c r="A685" s="3"/>
      <c r="B685" s="3"/>
      <c r="C685" s="3"/>
      <c r="D685" s="3"/>
      <c r="E685" s="3"/>
      <c r="F685" s="3"/>
    </row>
    <row r="686" ht="15.75" customHeight="1">
      <c r="A686" s="3"/>
      <c r="B686" s="3"/>
      <c r="C686" s="3"/>
      <c r="D686" s="3"/>
      <c r="E686" s="3"/>
      <c r="F686" s="3"/>
    </row>
    <row r="687" ht="15.75" customHeight="1">
      <c r="A687" s="3"/>
      <c r="B687" s="3"/>
      <c r="C687" s="3"/>
      <c r="D687" s="3"/>
      <c r="E687" s="3"/>
      <c r="F687" s="3"/>
    </row>
    <row r="688" ht="15.75" customHeight="1">
      <c r="A688" s="3"/>
      <c r="B688" s="3"/>
      <c r="C688" s="3"/>
      <c r="D688" s="3"/>
      <c r="E688" s="3"/>
      <c r="F688" s="3"/>
    </row>
    <row r="689" ht="15.75" customHeight="1">
      <c r="A689" s="3"/>
      <c r="B689" s="3"/>
      <c r="C689" s="3"/>
      <c r="D689" s="3"/>
      <c r="E689" s="3"/>
      <c r="F689" s="3"/>
    </row>
    <row r="690" ht="15.75" customHeight="1">
      <c r="A690" s="3"/>
      <c r="B690" s="3"/>
      <c r="C690" s="3"/>
      <c r="D690" s="3"/>
      <c r="E690" s="3"/>
      <c r="F690" s="3"/>
    </row>
    <row r="691" ht="15.75" customHeight="1">
      <c r="A691" s="3"/>
      <c r="B691" s="3"/>
      <c r="C691" s="3"/>
      <c r="D691" s="3"/>
      <c r="E691" s="3"/>
      <c r="F691" s="3"/>
    </row>
    <row r="692" ht="15.75" customHeight="1">
      <c r="A692" s="3"/>
      <c r="B692" s="3"/>
      <c r="C692" s="3"/>
      <c r="D692" s="3"/>
      <c r="E692" s="3"/>
      <c r="F692" s="3"/>
    </row>
    <row r="693" ht="15.75" customHeight="1">
      <c r="A693" s="3"/>
      <c r="B693" s="3"/>
      <c r="C693" s="3"/>
      <c r="D693" s="3"/>
      <c r="E693" s="3"/>
      <c r="F693" s="3"/>
    </row>
    <row r="694" ht="15.75" customHeight="1">
      <c r="A694" s="3"/>
      <c r="B694" s="3"/>
      <c r="C694" s="3"/>
      <c r="D694" s="3"/>
      <c r="E694" s="3"/>
      <c r="F694" s="3"/>
    </row>
    <row r="695" ht="15.75" customHeight="1">
      <c r="A695" s="3"/>
      <c r="B695" s="3"/>
      <c r="C695" s="3"/>
      <c r="D695" s="3"/>
      <c r="E695" s="3"/>
      <c r="F695" s="3"/>
    </row>
    <row r="696" ht="15.75" customHeight="1">
      <c r="A696" s="3"/>
      <c r="B696" s="3"/>
      <c r="C696" s="3"/>
      <c r="D696" s="3"/>
      <c r="E696" s="3"/>
      <c r="F696" s="3"/>
    </row>
    <row r="697" ht="15.75" customHeight="1">
      <c r="A697" s="3"/>
      <c r="B697" s="3"/>
      <c r="C697" s="3"/>
      <c r="D697" s="3"/>
      <c r="E697" s="3"/>
      <c r="F697" s="3"/>
    </row>
    <row r="698" ht="15.75" customHeight="1">
      <c r="A698" s="3"/>
      <c r="B698" s="3"/>
      <c r="C698" s="3"/>
      <c r="D698" s="3"/>
      <c r="E698" s="3"/>
      <c r="F698" s="3"/>
    </row>
    <row r="699" ht="15.75" customHeight="1">
      <c r="A699" s="3"/>
      <c r="B699" s="3"/>
      <c r="C699" s="3"/>
      <c r="D699" s="3"/>
      <c r="E699" s="3"/>
      <c r="F699" s="3"/>
    </row>
    <row r="700" ht="15.75" customHeight="1">
      <c r="A700" s="3"/>
      <c r="B700" s="3"/>
      <c r="C700" s="3"/>
      <c r="D700" s="3"/>
      <c r="E700" s="3"/>
      <c r="F700" s="3"/>
    </row>
    <row r="701" ht="15.75" customHeight="1">
      <c r="A701" s="3"/>
      <c r="B701" s="3"/>
      <c r="C701" s="3"/>
      <c r="D701" s="3"/>
      <c r="E701" s="3"/>
      <c r="F701" s="3"/>
    </row>
    <row r="702" ht="15.75" customHeight="1">
      <c r="A702" s="3"/>
      <c r="B702" s="3"/>
      <c r="C702" s="3"/>
      <c r="D702" s="3"/>
      <c r="E702" s="3"/>
      <c r="F702" s="3"/>
    </row>
    <row r="703" ht="15.75" customHeight="1">
      <c r="A703" s="3"/>
      <c r="B703" s="3"/>
      <c r="C703" s="3"/>
      <c r="D703" s="3"/>
      <c r="E703" s="3"/>
      <c r="F703" s="3"/>
    </row>
    <row r="704" ht="15.75" customHeight="1">
      <c r="A704" s="3"/>
      <c r="B704" s="3"/>
      <c r="C704" s="3"/>
      <c r="D704" s="3"/>
      <c r="E704" s="3"/>
      <c r="F704" s="3"/>
    </row>
    <row r="705" ht="15.75" customHeight="1">
      <c r="A705" s="3"/>
      <c r="B705" s="3"/>
      <c r="C705" s="3"/>
      <c r="D705" s="3"/>
      <c r="E705" s="3"/>
      <c r="F705" s="3"/>
    </row>
    <row r="706" ht="15.75" customHeight="1">
      <c r="A706" s="3"/>
      <c r="B706" s="3"/>
      <c r="C706" s="3"/>
      <c r="D706" s="3"/>
      <c r="E706" s="3"/>
      <c r="F706" s="3"/>
    </row>
    <row r="707" ht="15.75" customHeight="1">
      <c r="A707" s="3"/>
      <c r="B707" s="3"/>
      <c r="C707" s="3"/>
      <c r="D707" s="3"/>
      <c r="E707" s="3"/>
      <c r="F707" s="3"/>
    </row>
    <row r="708" ht="15.75" customHeight="1">
      <c r="A708" s="3"/>
      <c r="B708" s="3"/>
      <c r="C708" s="3"/>
      <c r="D708" s="3"/>
      <c r="E708" s="3"/>
      <c r="F708" s="3"/>
    </row>
    <row r="709" ht="15.75" customHeight="1">
      <c r="A709" s="3"/>
      <c r="B709" s="3"/>
      <c r="C709" s="3"/>
      <c r="D709" s="3"/>
      <c r="E709" s="3"/>
      <c r="F709" s="3"/>
    </row>
    <row r="710" ht="15.75" customHeight="1">
      <c r="A710" s="3"/>
      <c r="B710" s="3"/>
      <c r="C710" s="3"/>
      <c r="D710" s="3"/>
      <c r="E710" s="3"/>
      <c r="F710" s="3"/>
    </row>
    <row r="711" ht="15.75" customHeight="1">
      <c r="A711" s="3"/>
      <c r="B711" s="3"/>
      <c r="C711" s="3"/>
      <c r="D711" s="3"/>
      <c r="E711" s="3"/>
      <c r="F711" s="3"/>
    </row>
    <row r="712" ht="15.75" customHeight="1">
      <c r="A712" s="3"/>
      <c r="B712" s="3"/>
      <c r="C712" s="3"/>
      <c r="D712" s="3"/>
      <c r="E712" s="3"/>
      <c r="F712" s="3"/>
    </row>
    <row r="713" ht="15.75" customHeight="1">
      <c r="A713" s="3"/>
      <c r="B713" s="3"/>
      <c r="C713" s="3"/>
      <c r="D713" s="3"/>
      <c r="E713" s="3"/>
      <c r="F713" s="3"/>
    </row>
    <row r="714" ht="15.75" customHeight="1">
      <c r="A714" s="3"/>
      <c r="B714" s="3"/>
      <c r="C714" s="3"/>
      <c r="D714" s="3"/>
      <c r="E714" s="3"/>
      <c r="F714" s="3"/>
    </row>
    <row r="715" ht="15.75" customHeight="1">
      <c r="A715" s="3"/>
      <c r="B715" s="3"/>
      <c r="C715" s="3"/>
      <c r="D715" s="3"/>
      <c r="E715" s="3"/>
      <c r="F715" s="3"/>
    </row>
    <row r="716" ht="15.75" customHeight="1">
      <c r="A716" s="3"/>
      <c r="B716" s="3"/>
      <c r="C716" s="3"/>
      <c r="D716" s="3"/>
      <c r="E716" s="3"/>
      <c r="F716" s="3"/>
    </row>
    <row r="717" ht="15.75" customHeight="1">
      <c r="A717" s="3"/>
      <c r="B717" s="3"/>
      <c r="C717" s="3"/>
      <c r="D717" s="3"/>
      <c r="E717" s="3"/>
      <c r="F717" s="3"/>
    </row>
    <row r="718" ht="15.75" customHeight="1">
      <c r="A718" s="3"/>
      <c r="B718" s="3"/>
      <c r="C718" s="3"/>
      <c r="D718" s="3"/>
      <c r="E718" s="3"/>
      <c r="F718" s="3"/>
    </row>
    <row r="719" ht="15.75" customHeight="1">
      <c r="A719" s="3"/>
      <c r="B719" s="3"/>
      <c r="C719" s="3"/>
      <c r="D719" s="3"/>
      <c r="E719" s="3"/>
      <c r="F719" s="3"/>
    </row>
    <row r="720" ht="15.75" customHeight="1">
      <c r="A720" s="3"/>
      <c r="B720" s="3"/>
      <c r="C720" s="3"/>
      <c r="D720" s="3"/>
      <c r="E720" s="3"/>
      <c r="F720" s="3"/>
    </row>
    <row r="721" ht="15.75" customHeight="1">
      <c r="A721" s="3"/>
      <c r="B721" s="3"/>
      <c r="C721" s="3"/>
      <c r="D721" s="3"/>
      <c r="E721" s="3"/>
      <c r="F721" s="3"/>
    </row>
    <row r="722" ht="15.75" customHeight="1">
      <c r="A722" s="3"/>
      <c r="B722" s="3"/>
      <c r="C722" s="3"/>
      <c r="D722" s="3"/>
      <c r="E722" s="3"/>
      <c r="F722" s="3"/>
    </row>
    <row r="723" ht="15.75" customHeight="1">
      <c r="A723" s="3"/>
      <c r="B723" s="3"/>
      <c r="C723" s="3"/>
      <c r="D723" s="3"/>
      <c r="E723" s="3"/>
      <c r="F723" s="3"/>
    </row>
    <row r="724" ht="15.75" customHeight="1">
      <c r="A724" s="3"/>
      <c r="B724" s="3"/>
      <c r="C724" s="3"/>
      <c r="D724" s="3"/>
      <c r="E724" s="3"/>
      <c r="F724" s="3"/>
    </row>
    <row r="725" ht="15.75" customHeight="1">
      <c r="A725" s="3"/>
      <c r="B725" s="3"/>
      <c r="C725" s="3"/>
      <c r="D725" s="3"/>
      <c r="E725" s="3"/>
      <c r="F725" s="3"/>
    </row>
    <row r="726" ht="15.75" customHeight="1">
      <c r="A726" s="3"/>
      <c r="B726" s="3"/>
      <c r="C726" s="3"/>
      <c r="D726" s="3"/>
      <c r="E726" s="3"/>
      <c r="F726" s="3"/>
    </row>
    <row r="727" ht="15.75" customHeight="1">
      <c r="A727" s="3"/>
      <c r="B727" s="3"/>
      <c r="C727" s="3"/>
      <c r="D727" s="3"/>
      <c r="E727" s="3"/>
      <c r="F727" s="3"/>
    </row>
    <row r="728" ht="15.75" customHeight="1">
      <c r="A728" s="3"/>
      <c r="B728" s="3"/>
      <c r="C728" s="3"/>
      <c r="D728" s="3"/>
      <c r="E728" s="3"/>
      <c r="F728" s="3"/>
    </row>
    <row r="729" ht="15.75" customHeight="1">
      <c r="A729" s="3"/>
      <c r="B729" s="3"/>
      <c r="C729" s="3"/>
      <c r="D729" s="3"/>
      <c r="E729" s="3"/>
      <c r="F729" s="3"/>
    </row>
    <row r="730" ht="15.75" customHeight="1">
      <c r="A730" s="3"/>
      <c r="B730" s="3"/>
      <c r="C730" s="3"/>
      <c r="D730" s="3"/>
      <c r="E730" s="3"/>
      <c r="F730" s="3"/>
    </row>
    <row r="731" ht="15.75" customHeight="1">
      <c r="A731" s="3"/>
      <c r="B731" s="3"/>
      <c r="C731" s="3"/>
      <c r="D731" s="3"/>
      <c r="E731" s="3"/>
      <c r="F731" s="3"/>
    </row>
    <row r="732" ht="15.75" customHeight="1">
      <c r="A732" s="3"/>
      <c r="B732" s="3"/>
      <c r="C732" s="3"/>
      <c r="D732" s="3"/>
      <c r="E732" s="3"/>
      <c r="F732" s="3"/>
    </row>
    <row r="733" ht="15.75" customHeight="1">
      <c r="A733" s="3"/>
      <c r="B733" s="3"/>
      <c r="C733" s="3"/>
      <c r="D733" s="3"/>
      <c r="E733" s="3"/>
      <c r="F733" s="3"/>
    </row>
    <row r="734" ht="15.75" customHeight="1">
      <c r="A734" s="3"/>
      <c r="B734" s="3"/>
      <c r="C734" s="3"/>
      <c r="D734" s="3"/>
      <c r="E734" s="3"/>
      <c r="F734" s="3"/>
    </row>
    <row r="735" ht="15.75" customHeight="1">
      <c r="A735" s="3"/>
      <c r="B735" s="3"/>
      <c r="C735" s="3"/>
      <c r="D735" s="3"/>
      <c r="E735" s="3"/>
      <c r="F735" s="3"/>
    </row>
    <row r="736" ht="15.75" customHeight="1">
      <c r="A736" s="3"/>
      <c r="B736" s="3"/>
      <c r="C736" s="3"/>
      <c r="D736" s="3"/>
      <c r="E736" s="3"/>
      <c r="F736" s="3"/>
    </row>
    <row r="737" ht="15.75" customHeight="1">
      <c r="A737" s="3"/>
      <c r="B737" s="3"/>
      <c r="C737" s="3"/>
      <c r="D737" s="3"/>
      <c r="E737" s="3"/>
      <c r="F737" s="3"/>
    </row>
    <row r="738" ht="15.75" customHeight="1">
      <c r="A738" s="3"/>
      <c r="B738" s="3"/>
      <c r="C738" s="3"/>
      <c r="D738" s="3"/>
      <c r="E738" s="3"/>
      <c r="F738" s="3"/>
    </row>
    <row r="739" ht="15.75" customHeight="1">
      <c r="A739" s="3"/>
      <c r="B739" s="3"/>
      <c r="C739" s="3"/>
      <c r="D739" s="3"/>
      <c r="E739" s="3"/>
      <c r="F739" s="3"/>
    </row>
    <row r="740" ht="15.75" customHeight="1">
      <c r="A740" s="3"/>
      <c r="B740" s="3"/>
      <c r="C740" s="3"/>
      <c r="D740" s="3"/>
      <c r="E740" s="3"/>
      <c r="F740" s="3"/>
    </row>
    <row r="741" ht="15.75" customHeight="1">
      <c r="A741" s="3"/>
      <c r="B741" s="3"/>
      <c r="C741" s="3"/>
      <c r="D741" s="3"/>
      <c r="E741" s="3"/>
      <c r="F741" s="3"/>
    </row>
    <row r="742" ht="15.75" customHeight="1">
      <c r="A742" s="3"/>
      <c r="B742" s="3"/>
      <c r="C742" s="3"/>
      <c r="D742" s="3"/>
      <c r="E742" s="3"/>
      <c r="F742" s="3"/>
    </row>
    <row r="743" ht="15.75" customHeight="1">
      <c r="A743" s="3"/>
      <c r="B743" s="3"/>
      <c r="C743" s="3"/>
      <c r="D743" s="3"/>
      <c r="E743" s="3"/>
      <c r="F743" s="3"/>
    </row>
    <row r="744" ht="15.75" customHeight="1">
      <c r="A744" s="3"/>
      <c r="B744" s="3"/>
      <c r="C744" s="3"/>
      <c r="D744" s="3"/>
      <c r="E744" s="3"/>
      <c r="F744" s="3"/>
    </row>
    <row r="745" ht="15.75" customHeight="1">
      <c r="A745" s="3"/>
      <c r="B745" s="3"/>
      <c r="C745" s="3"/>
      <c r="D745" s="3"/>
      <c r="E745" s="3"/>
      <c r="F745" s="3"/>
    </row>
    <row r="746" ht="15.75" customHeight="1">
      <c r="A746" s="3"/>
      <c r="B746" s="3"/>
      <c r="C746" s="3"/>
      <c r="D746" s="3"/>
      <c r="E746" s="3"/>
      <c r="F746" s="3"/>
    </row>
    <row r="747" ht="15.75" customHeight="1">
      <c r="A747" s="3"/>
      <c r="B747" s="3"/>
      <c r="C747" s="3"/>
      <c r="D747" s="3"/>
      <c r="E747" s="3"/>
      <c r="F747" s="3"/>
    </row>
    <row r="748" ht="15.75" customHeight="1">
      <c r="A748" s="3"/>
      <c r="B748" s="3"/>
      <c r="C748" s="3"/>
      <c r="D748" s="3"/>
      <c r="E748" s="3"/>
      <c r="F748" s="3"/>
    </row>
    <row r="749" ht="15.75" customHeight="1">
      <c r="A749" s="3"/>
      <c r="B749" s="3"/>
      <c r="C749" s="3"/>
      <c r="D749" s="3"/>
      <c r="E749" s="3"/>
      <c r="F749" s="3"/>
    </row>
    <row r="750" ht="15.75" customHeight="1">
      <c r="A750" s="3"/>
      <c r="B750" s="3"/>
      <c r="C750" s="3"/>
      <c r="D750" s="3"/>
      <c r="E750" s="3"/>
      <c r="F750" s="3"/>
    </row>
    <row r="751" ht="15.75" customHeight="1">
      <c r="A751" s="3"/>
      <c r="B751" s="3"/>
      <c r="C751" s="3"/>
      <c r="D751" s="3"/>
      <c r="E751" s="3"/>
      <c r="F751" s="3"/>
    </row>
    <row r="752" ht="15.75" customHeight="1">
      <c r="A752" s="3"/>
      <c r="B752" s="3"/>
      <c r="C752" s="3"/>
      <c r="D752" s="3"/>
      <c r="E752" s="3"/>
      <c r="F752" s="3"/>
    </row>
    <row r="753" ht="15.75" customHeight="1">
      <c r="A753" s="3"/>
      <c r="B753" s="3"/>
      <c r="C753" s="3"/>
      <c r="D753" s="3"/>
      <c r="E753" s="3"/>
      <c r="F753" s="3"/>
    </row>
    <row r="754" ht="15.75" customHeight="1">
      <c r="A754" s="3"/>
      <c r="B754" s="3"/>
      <c r="C754" s="3"/>
      <c r="D754" s="3"/>
      <c r="E754" s="3"/>
      <c r="F754" s="3"/>
    </row>
    <row r="755" ht="15.75" customHeight="1">
      <c r="A755" s="3"/>
      <c r="B755" s="3"/>
      <c r="C755" s="3"/>
      <c r="D755" s="3"/>
      <c r="E755" s="3"/>
      <c r="F755" s="3"/>
    </row>
    <row r="756" ht="15.75" customHeight="1">
      <c r="A756" s="3"/>
      <c r="B756" s="3"/>
      <c r="C756" s="3"/>
      <c r="D756" s="3"/>
      <c r="E756" s="3"/>
      <c r="F756" s="3"/>
    </row>
    <row r="757" ht="15.75" customHeight="1">
      <c r="A757" s="3"/>
      <c r="B757" s="3"/>
      <c r="C757" s="3"/>
      <c r="D757" s="3"/>
      <c r="E757" s="3"/>
      <c r="F757" s="3"/>
    </row>
    <row r="758" ht="15.75" customHeight="1">
      <c r="A758" s="3"/>
      <c r="B758" s="3"/>
      <c r="C758" s="3"/>
      <c r="D758" s="3"/>
      <c r="E758" s="3"/>
      <c r="F758" s="3"/>
    </row>
    <row r="759" ht="15.75" customHeight="1">
      <c r="A759" s="3"/>
      <c r="B759" s="3"/>
      <c r="C759" s="3"/>
      <c r="D759" s="3"/>
      <c r="E759" s="3"/>
      <c r="F759" s="3"/>
    </row>
    <row r="760" ht="15.75" customHeight="1">
      <c r="A760" s="3"/>
      <c r="B760" s="3"/>
      <c r="C760" s="3"/>
      <c r="D760" s="3"/>
      <c r="E760" s="3"/>
      <c r="F760" s="3"/>
    </row>
    <row r="761" ht="15.75" customHeight="1">
      <c r="A761" s="3"/>
      <c r="B761" s="3"/>
      <c r="C761" s="3"/>
      <c r="D761" s="3"/>
      <c r="E761" s="3"/>
      <c r="F761" s="3"/>
    </row>
    <row r="762" ht="15.75" customHeight="1">
      <c r="A762" s="3"/>
      <c r="B762" s="3"/>
      <c r="C762" s="3"/>
      <c r="D762" s="3"/>
      <c r="E762" s="3"/>
      <c r="F762" s="3"/>
    </row>
    <row r="763" ht="15.75" customHeight="1">
      <c r="A763" s="3"/>
      <c r="B763" s="3"/>
      <c r="C763" s="3"/>
      <c r="D763" s="3"/>
      <c r="E763" s="3"/>
      <c r="F763" s="3"/>
    </row>
    <row r="764" ht="15.75" customHeight="1">
      <c r="A764" s="3"/>
      <c r="B764" s="3"/>
      <c r="C764" s="3"/>
      <c r="D764" s="3"/>
      <c r="E764" s="3"/>
      <c r="F764" s="3"/>
    </row>
    <row r="765" ht="15.75" customHeight="1">
      <c r="A765" s="3"/>
      <c r="B765" s="3"/>
      <c r="C765" s="3"/>
      <c r="D765" s="3"/>
      <c r="E765" s="3"/>
      <c r="F765" s="3"/>
    </row>
    <row r="766" ht="15.75" customHeight="1">
      <c r="A766" s="3"/>
      <c r="B766" s="3"/>
      <c r="C766" s="3"/>
      <c r="D766" s="3"/>
      <c r="E766" s="3"/>
      <c r="F766" s="3"/>
    </row>
    <row r="767" ht="15.75" customHeight="1">
      <c r="A767" s="3"/>
      <c r="B767" s="3"/>
      <c r="C767" s="3"/>
      <c r="D767" s="3"/>
      <c r="E767" s="3"/>
      <c r="F767" s="3"/>
    </row>
    <row r="768" ht="15.75" customHeight="1">
      <c r="A768" s="3"/>
      <c r="B768" s="3"/>
      <c r="C768" s="3"/>
      <c r="D768" s="3"/>
      <c r="E768" s="3"/>
      <c r="F768" s="3"/>
    </row>
    <row r="769" ht="15.75" customHeight="1">
      <c r="A769" s="3"/>
      <c r="B769" s="3"/>
      <c r="C769" s="3"/>
      <c r="D769" s="3"/>
      <c r="E769" s="3"/>
      <c r="F769" s="3"/>
    </row>
    <row r="770" ht="15.75" customHeight="1">
      <c r="A770" s="3"/>
      <c r="B770" s="3"/>
      <c r="C770" s="3"/>
      <c r="D770" s="3"/>
      <c r="E770" s="3"/>
      <c r="F770" s="3"/>
    </row>
    <row r="771" ht="15.75" customHeight="1">
      <c r="A771" s="3"/>
      <c r="B771" s="3"/>
      <c r="C771" s="3"/>
      <c r="D771" s="3"/>
      <c r="E771" s="3"/>
      <c r="F771" s="3"/>
    </row>
    <row r="772" ht="15.75" customHeight="1">
      <c r="A772" s="3"/>
      <c r="B772" s="3"/>
      <c r="C772" s="3"/>
      <c r="D772" s="3"/>
      <c r="E772" s="3"/>
      <c r="F772" s="3"/>
    </row>
    <row r="773" ht="15.75" customHeight="1">
      <c r="A773" s="3"/>
      <c r="B773" s="3"/>
      <c r="C773" s="3"/>
      <c r="D773" s="3"/>
      <c r="E773" s="3"/>
      <c r="F773" s="3"/>
    </row>
    <row r="774" ht="15.75" customHeight="1">
      <c r="A774" s="3"/>
      <c r="B774" s="3"/>
      <c r="C774" s="3"/>
      <c r="D774" s="3"/>
      <c r="E774" s="3"/>
      <c r="F774" s="3"/>
    </row>
    <row r="775" ht="15.75" customHeight="1">
      <c r="A775" s="3"/>
      <c r="B775" s="3"/>
      <c r="C775" s="3"/>
      <c r="D775" s="3"/>
      <c r="E775" s="3"/>
      <c r="F775" s="3"/>
    </row>
    <row r="776" ht="15.75" customHeight="1">
      <c r="A776" s="3"/>
      <c r="B776" s="3"/>
      <c r="C776" s="3"/>
      <c r="D776" s="3"/>
      <c r="E776" s="3"/>
      <c r="F776" s="3"/>
    </row>
    <row r="777" ht="15.75" customHeight="1">
      <c r="A777" s="3"/>
      <c r="B777" s="3"/>
      <c r="C777" s="3"/>
      <c r="D777" s="3"/>
      <c r="E777" s="3"/>
      <c r="F777" s="3"/>
    </row>
    <row r="778" ht="15.75" customHeight="1">
      <c r="A778" s="3"/>
      <c r="B778" s="3"/>
      <c r="C778" s="3"/>
      <c r="D778" s="3"/>
      <c r="E778" s="3"/>
      <c r="F778" s="3"/>
    </row>
    <row r="779" ht="15.75" customHeight="1">
      <c r="A779" s="3"/>
      <c r="B779" s="3"/>
      <c r="C779" s="3"/>
      <c r="D779" s="3"/>
      <c r="E779" s="3"/>
      <c r="F779" s="3"/>
    </row>
    <row r="780" ht="15.75" customHeight="1">
      <c r="A780" s="3"/>
      <c r="B780" s="3"/>
      <c r="C780" s="3"/>
      <c r="D780" s="3"/>
      <c r="E780" s="3"/>
      <c r="F780" s="3"/>
    </row>
    <row r="781" ht="15.75" customHeight="1">
      <c r="A781" s="3"/>
      <c r="B781" s="3"/>
      <c r="C781" s="3"/>
      <c r="D781" s="3"/>
      <c r="E781" s="3"/>
      <c r="F781" s="3"/>
    </row>
    <row r="782" ht="15.75" customHeight="1">
      <c r="A782" s="3"/>
      <c r="B782" s="3"/>
      <c r="C782" s="3"/>
      <c r="D782" s="3"/>
      <c r="E782" s="3"/>
      <c r="F782" s="3"/>
    </row>
    <row r="783" ht="15.75" customHeight="1">
      <c r="A783" s="3"/>
      <c r="B783" s="3"/>
      <c r="C783" s="3"/>
      <c r="D783" s="3"/>
      <c r="E783" s="3"/>
      <c r="F783" s="3"/>
    </row>
    <row r="784" ht="15.75" customHeight="1">
      <c r="A784" s="3"/>
      <c r="B784" s="3"/>
      <c r="C784" s="3"/>
      <c r="D784" s="3"/>
      <c r="E784" s="3"/>
      <c r="F784" s="3"/>
    </row>
    <row r="785" ht="15.75" customHeight="1">
      <c r="A785" s="3"/>
      <c r="B785" s="3"/>
      <c r="C785" s="3"/>
      <c r="D785" s="3"/>
      <c r="E785" s="3"/>
      <c r="F785" s="3"/>
    </row>
    <row r="786" ht="15.75" customHeight="1">
      <c r="A786" s="3"/>
      <c r="B786" s="3"/>
      <c r="C786" s="3"/>
      <c r="D786" s="3"/>
      <c r="E786" s="3"/>
      <c r="F786" s="3"/>
    </row>
    <row r="787" ht="15.75" customHeight="1">
      <c r="A787" s="3"/>
      <c r="B787" s="3"/>
      <c r="C787" s="3"/>
      <c r="D787" s="3"/>
      <c r="E787" s="3"/>
      <c r="F787" s="3"/>
    </row>
    <row r="788" ht="15.75" customHeight="1">
      <c r="A788" s="3"/>
      <c r="B788" s="3"/>
      <c r="C788" s="3"/>
      <c r="D788" s="3"/>
      <c r="E788" s="3"/>
      <c r="F788" s="3"/>
    </row>
    <row r="789" ht="15.75" customHeight="1">
      <c r="A789" s="3"/>
      <c r="B789" s="3"/>
      <c r="C789" s="3"/>
      <c r="D789" s="3"/>
      <c r="E789" s="3"/>
      <c r="F789" s="3"/>
    </row>
    <row r="790" ht="15.75" customHeight="1">
      <c r="A790" s="3"/>
      <c r="B790" s="3"/>
      <c r="C790" s="3"/>
      <c r="D790" s="3"/>
      <c r="E790" s="3"/>
      <c r="F790" s="3"/>
    </row>
    <row r="791" ht="15.75" customHeight="1">
      <c r="A791" s="3"/>
      <c r="B791" s="3"/>
      <c r="C791" s="3"/>
      <c r="D791" s="3"/>
      <c r="E791" s="3"/>
      <c r="F791" s="3"/>
    </row>
    <row r="792" ht="15.75" customHeight="1">
      <c r="A792" s="3"/>
      <c r="B792" s="3"/>
      <c r="C792" s="3"/>
      <c r="D792" s="3"/>
      <c r="E792" s="3"/>
      <c r="F792" s="3"/>
    </row>
    <row r="793" ht="15.75" customHeight="1">
      <c r="A793" s="3"/>
      <c r="B793" s="3"/>
      <c r="C793" s="3"/>
      <c r="D793" s="3"/>
      <c r="E793" s="3"/>
      <c r="F793" s="3"/>
    </row>
    <row r="794" ht="15.75" customHeight="1">
      <c r="A794" s="3"/>
      <c r="B794" s="3"/>
      <c r="C794" s="3"/>
      <c r="D794" s="3"/>
      <c r="E794" s="3"/>
      <c r="F794" s="3"/>
    </row>
    <row r="795" ht="15.75" customHeight="1">
      <c r="A795" s="3"/>
      <c r="B795" s="3"/>
      <c r="C795" s="3"/>
      <c r="D795" s="3"/>
      <c r="E795" s="3"/>
      <c r="F795" s="3"/>
    </row>
    <row r="796" ht="15.75" customHeight="1">
      <c r="A796" s="3"/>
      <c r="B796" s="3"/>
      <c r="C796" s="3"/>
      <c r="D796" s="3"/>
      <c r="E796" s="3"/>
      <c r="F796" s="3"/>
    </row>
    <row r="797" ht="15.75" customHeight="1">
      <c r="A797" s="3"/>
      <c r="B797" s="3"/>
      <c r="C797" s="3"/>
      <c r="D797" s="3"/>
      <c r="E797" s="3"/>
      <c r="F797" s="3"/>
    </row>
    <row r="798" ht="15.75" customHeight="1">
      <c r="A798" s="3"/>
      <c r="B798" s="3"/>
      <c r="C798" s="3"/>
      <c r="D798" s="3"/>
      <c r="E798" s="3"/>
      <c r="F798" s="3"/>
    </row>
    <row r="799" ht="15.75" customHeight="1">
      <c r="A799" s="3"/>
      <c r="B799" s="3"/>
      <c r="C799" s="3"/>
      <c r="D799" s="3"/>
      <c r="E799" s="3"/>
      <c r="F799" s="3"/>
    </row>
    <row r="800" ht="15.75" customHeight="1">
      <c r="A800" s="3"/>
      <c r="B800" s="3"/>
      <c r="C800" s="3"/>
      <c r="D800" s="3"/>
      <c r="E800" s="3"/>
      <c r="F800" s="3"/>
    </row>
    <row r="801" ht="15.75" customHeight="1">
      <c r="A801" s="3"/>
      <c r="B801" s="3"/>
      <c r="C801" s="3"/>
      <c r="D801" s="3"/>
      <c r="E801" s="3"/>
      <c r="F801" s="3"/>
    </row>
    <row r="802" ht="15.75" customHeight="1">
      <c r="A802" s="3"/>
      <c r="B802" s="3"/>
      <c r="C802" s="3"/>
      <c r="D802" s="3"/>
      <c r="E802" s="3"/>
      <c r="F802" s="3"/>
    </row>
    <row r="803" ht="15.75" customHeight="1">
      <c r="A803" s="3"/>
      <c r="B803" s="3"/>
      <c r="C803" s="3"/>
      <c r="D803" s="3"/>
      <c r="E803" s="3"/>
      <c r="F803" s="3"/>
    </row>
    <row r="804" ht="15.75" customHeight="1">
      <c r="A804" s="3"/>
      <c r="B804" s="3"/>
      <c r="C804" s="3"/>
      <c r="D804" s="3"/>
      <c r="E804" s="3"/>
      <c r="F804" s="3"/>
    </row>
    <row r="805" ht="15.75" customHeight="1">
      <c r="A805" s="3"/>
      <c r="B805" s="3"/>
      <c r="C805" s="3"/>
      <c r="D805" s="3"/>
      <c r="E805" s="3"/>
      <c r="F805" s="3"/>
    </row>
    <row r="806" ht="15.75" customHeight="1">
      <c r="A806" s="3"/>
      <c r="B806" s="3"/>
      <c r="C806" s="3"/>
      <c r="D806" s="3"/>
      <c r="E806" s="3"/>
      <c r="F806" s="3"/>
    </row>
    <row r="807" ht="15.75" customHeight="1">
      <c r="A807" s="3"/>
      <c r="B807" s="3"/>
      <c r="C807" s="3"/>
      <c r="D807" s="3"/>
      <c r="E807" s="3"/>
      <c r="F807" s="3"/>
    </row>
    <row r="808" ht="15.75" customHeight="1">
      <c r="A808" s="3"/>
      <c r="B808" s="3"/>
      <c r="C808" s="3"/>
      <c r="D808" s="3"/>
      <c r="E808" s="3"/>
      <c r="F808" s="3"/>
    </row>
    <row r="809" ht="15.75" customHeight="1">
      <c r="A809" s="3"/>
      <c r="B809" s="3"/>
      <c r="C809" s="3"/>
      <c r="D809" s="3"/>
      <c r="E809" s="3"/>
      <c r="F809" s="3"/>
    </row>
    <row r="810" ht="15.75" customHeight="1">
      <c r="A810" s="3"/>
      <c r="B810" s="3"/>
      <c r="C810" s="3"/>
      <c r="D810" s="3"/>
      <c r="E810" s="3"/>
      <c r="F810" s="3"/>
    </row>
    <row r="811" ht="15.75" customHeight="1">
      <c r="A811" s="3"/>
      <c r="B811" s="3"/>
      <c r="C811" s="3"/>
      <c r="D811" s="3"/>
      <c r="E811" s="3"/>
      <c r="F811" s="3"/>
    </row>
    <row r="812" ht="15.75" customHeight="1">
      <c r="A812" s="3"/>
      <c r="B812" s="3"/>
      <c r="C812" s="3"/>
      <c r="D812" s="3"/>
      <c r="E812" s="3"/>
      <c r="F812" s="3"/>
    </row>
    <row r="813" ht="15.75" customHeight="1">
      <c r="A813" s="3"/>
      <c r="B813" s="3"/>
      <c r="C813" s="3"/>
      <c r="D813" s="3"/>
      <c r="E813" s="3"/>
      <c r="F813" s="3"/>
    </row>
    <row r="814" ht="15.75" customHeight="1">
      <c r="A814" s="3"/>
      <c r="B814" s="3"/>
      <c r="C814" s="3"/>
      <c r="D814" s="3"/>
      <c r="E814" s="3"/>
      <c r="F814" s="3"/>
    </row>
    <row r="815" ht="15.75" customHeight="1">
      <c r="A815" s="3"/>
      <c r="B815" s="3"/>
      <c r="C815" s="3"/>
      <c r="D815" s="3"/>
      <c r="E815" s="3"/>
      <c r="F815" s="3"/>
    </row>
    <row r="816" ht="15.75" customHeight="1">
      <c r="A816" s="3"/>
      <c r="B816" s="3"/>
      <c r="C816" s="3"/>
      <c r="D816" s="3"/>
      <c r="E816" s="3"/>
      <c r="F816" s="3"/>
    </row>
    <row r="817" ht="15.75" customHeight="1">
      <c r="A817" s="3"/>
      <c r="B817" s="3"/>
      <c r="C817" s="3"/>
      <c r="D817" s="3"/>
      <c r="E817" s="3"/>
      <c r="F817" s="3"/>
    </row>
    <row r="818" ht="15.75" customHeight="1">
      <c r="A818" s="3"/>
      <c r="B818" s="3"/>
      <c r="C818" s="3"/>
      <c r="D818" s="3"/>
      <c r="E818" s="3"/>
      <c r="F818" s="3"/>
    </row>
    <row r="819" ht="15.75" customHeight="1">
      <c r="A819" s="3"/>
      <c r="B819" s="3"/>
      <c r="C819" s="3"/>
      <c r="D819" s="3"/>
      <c r="E819" s="3"/>
      <c r="F819" s="3"/>
    </row>
    <row r="820" ht="15.75" customHeight="1">
      <c r="A820" s="3"/>
      <c r="B820" s="3"/>
      <c r="C820" s="3"/>
      <c r="D820" s="3"/>
      <c r="E820" s="3"/>
      <c r="F820" s="3"/>
    </row>
    <row r="821" ht="15.75" customHeight="1">
      <c r="A821" s="3"/>
      <c r="B821" s="3"/>
      <c r="C821" s="3"/>
      <c r="D821" s="3"/>
      <c r="E821" s="3"/>
      <c r="F821" s="3"/>
    </row>
    <row r="822" ht="15.75" customHeight="1">
      <c r="A822" s="3"/>
      <c r="B822" s="3"/>
      <c r="C822" s="3"/>
      <c r="D822" s="3"/>
      <c r="E822" s="3"/>
      <c r="F822" s="3"/>
    </row>
    <row r="823" ht="15.75" customHeight="1">
      <c r="A823" s="3"/>
      <c r="B823" s="3"/>
      <c r="C823" s="3"/>
      <c r="D823" s="3"/>
      <c r="E823" s="3"/>
      <c r="F823" s="3"/>
    </row>
    <row r="824" ht="15.75" customHeight="1">
      <c r="A824" s="3"/>
      <c r="B824" s="3"/>
      <c r="C824" s="3"/>
      <c r="D824" s="3"/>
      <c r="E824" s="3"/>
      <c r="F824" s="3"/>
    </row>
    <row r="825" ht="15.75" customHeight="1">
      <c r="A825" s="3"/>
      <c r="B825" s="3"/>
      <c r="C825" s="3"/>
      <c r="D825" s="3"/>
      <c r="E825" s="3"/>
      <c r="F825" s="3"/>
    </row>
    <row r="826" ht="15.75" customHeight="1">
      <c r="A826" s="3"/>
      <c r="B826" s="3"/>
      <c r="C826" s="3"/>
      <c r="D826" s="3"/>
      <c r="E826" s="3"/>
      <c r="F826" s="3"/>
    </row>
    <row r="827" ht="15.75" customHeight="1">
      <c r="A827" s="3"/>
      <c r="B827" s="3"/>
      <c r="C827" s="3"/>
      <c r="D827" s="3"/>
      <c r="E827" s="3"/>
      <c r="F827" s="3"/>
    </row>
    <row r="828" ht="15.75" customHeight="1">
      <c r="A828" s="3"/>
      <c r="B828" s="3"/>
      <c r="C828" s="3"/>
      <c r="D828" s="3"/>
      <c r="E828" s="3"/>
      <c r="F828" s="3"/>
    </row>
    <row r="829" ht="15.75" customHeight="1">
      <c r="A829" s="3"/>
      <c r="B829" s="3"/>
      <c r="C829" s="3"/>
      <c r="D829" s="3"/>
      <c r="E829" s="3"/>
      <c r="F829" s="3"/>
    </row>
    <row r="830" ht="15.75" customHeight="1">
      <c r="A830" s="3"/>
      <c r="B830" s="3"/>
      <c r="C830" s="3"/>
      <c r="D830" s="3"/>
      <c r="E830" s="3"/>
      <c r="F830" s="3"/>
    </row>
    <row r="831" ht="15.75" customHeight="1">
      <c r="A831" s="3"/>
      <c r="B831" s="3"/>
      <c r="C831" s="3"/>
      <c r="D831" s="3"/>
      <c r="E831" s="3"/>
      <c r="F831" s="3"/>
    </row>
    <row r="832" ht="15.75" customHeight="1">
      <c r="A832" s="3"/>
      <c r="B832" s="3"/>
      <c r="C832" s="3"/>
      <c r="D832" s="3"/>
      <c r="E832" s="3"/>
      <c r="F832" s="3"/>
    </row>
    <row r="833" ht="15.75" customHeight="1">
      <c r="A833" s="3"/>
      <c r="B833" s="3"/>
      <c r="C833" s="3"/>
      <c r="D833" s="3"/>
      <c r="E833" s="3"/>
      <c r="F833" s="3"/>
    </row>
    <row r="834" ht="15.75" customHeight="1">
      <c r="A834" s="3"/>
      <c r="B834" s="3"/>
      <c r="C834" s="3"/>
      <c r="D834" s="3"/>
      <c r="E834" s="3"/>
      <c r="F834" s="3"/>
    </row>
    <row r="835" ht="15.75" customHeight="1">
      <c r="A835" s="3"/>
      <c r="B835" s="3"/>
      <c r="C835" s="3"/>
      <c r="D835" s="3"/>
      <c r="E835" s="3"/>
      <c r="F835" s="3"/>
    </row>
    <row r="836" ht="15.75" customHeight="1">
      <c r="A836" s="3"/>
      <c r="B836" s="3"/>
      <c r="C836" s="3"/>
      <c r="D836" s="3"/>
      <c r="E836" s="3"/>
      <c r="F836" s="3"/>
    </row>
    <row r="837" ht="15.75" customHeight="1">
      <c r="A837" s="3"/>
      <c r="B837" s="3"/>
      <c r="C837" s="3"/>
      <c r="D837" s="3"/>
      <c r="E837" s="3"/>
      <c r="F837" s="3"/>
    </row>
    <row r="838" ht="15.75" customHeight="1">
      <c r="A838" s="3"/>
      <c r="B838" s="3"/>
      <c r="C838" s="3"/>
      <c r="D838" s="3"/>
      <c r="E838" s="3"/>
      <c r="F838" s="3"/>
    </row>
    <row r="839" ht="15.75" customHeight="1">
      <c r="A839" s="3"/>
      <c r="B839" s="3"/>
      <c r="C839" s="3"/>
      <c r="D839" s="3"/>
      <c r="E839" s="3"/>
      <c r="F839" s="3"/>
    </row>
    <row r="840" ht="15.75" customHeight="1">
      <c r="A840" s="3"/>
      <c r="B840" s="3"/>
      <c r="C840" s="3"/>
      <c r="D840" s="3"/>
      <c r="E840" s="3"/>
      <c r="F840" s="3"/>
    </row>
    <row r="841" ht="15.75" customHeight="1">
      <c r="A841" s="3"/>
      <c r="B841" s="3"/>
      <c r="C841" s="3"/>
      <c r="D841" s="3"/>
      <c r="E841" s="3"/>
      <c r="F841" s="3"/>
    </row>
    <row r="842" ht="15.75" customHeight="1">
      <c r="A842" s="3"/>
      <c r="B842" s="3"/>
      <c r="C842" s="3"/>
      <c r="D842" s="3"/>
      <c r="E842" s="3"/>
      <c r="F842" s="3"/>
    </row>
    <row r="843" ht="15.75" customHeight="1">
      <c r="A843" s="3"/>
      <c r="B843" s="3"/>
      <c r="C843" s="3"/>
      <c r="D843" s="3"/>
      <c r="E843" s="3"/>
      <c r="F843" s="3"/>
    </row>
    <row r="844" ht="15.75" customHeight="1">
      <c r="A844" s="3"/>
      <c r="B844" s="3"/>
      <c r="C844" s="3"/>
      <c r="D844" s="3"/>
      <c r="E844" s="3"/>
      <c r="F844" s="3"/>
    </row>
    <row r="845" ht="15.75" customHeight="1">
      <c r="A845" s="3"/>
      <c r="B845" s="3"/>
      <c r="C845" s="3"/>
      <c r="D845" s="3"/>
      <c r="E845" s="3"/>
      <c r="F845" s="3"/>
    </row>
    <row r="846" ht="15.75" customHeight="1">
      <c r="A846" s="3"/>
      <c r="B846" s="3"/>
      <c r="C846" s="3"/>
      <c r="D846" s="3"/>
      <c r="E846" s="3"/>
      <c r="F846" s="3"/>
    </row>
    <row r="847" ht="15.75" customHeight="1">
      <c r="A847" s="3"/>
      <c r="B847" s="3"/>
      <c r="C847" s="3"/>
      <c r="D847" s="3"/>
      <c r="E847" s="3"/>
      <c r="F847" s="3"/>
    </row>
    <row r="848" ht="15.75" customHeight="1">
      <c r="A848" s="3"/>
      <c r="B848" s="3"/>
      <c r="C848" s="3"/>
      <c r="D848" s="3"/>
      <c r="E848" s="3"/>
      <c r="F848" s="3"/>
    </row>
    <row r="849" ht="15.75" customHeight="1">
      <c r="A849" s="3"/>
      <c r="B849" s="3"/>
      <c r="C849" s="3"/>
      <c r="D849" s="3"/>
      <c r="E849" s="3"/>
      <c r="F849" s="3"/>
    </row>
    <row r="850" ht="15.75" customHeight="1">
      <c r="A850" s="3"/>
      <c r="B850" s="3"/>
      <c r="C850" s="3"/>
      <c r="D850" s="3"/>
      <c r="E850" s="3"/>
      <c r="F850" s="3"/>
    </row>
    <row r="851" ht="15.75" customHeight="1">
      <c r="A851" s="3"/>
      <c r="B851" s="3"/>
      <c r="C851" s="3"/>
      <c r="D851" s="3"/>
      <c r="E851" s="3"/>
      <c r="F851" s="3"/>
    </row>
    <row r="852" ht="15.75" customHeight="1">
      <c r="A852" s="3"/>
      <c r="B852" s="3"/>
      <c r="C852" s="3"/>
      <c r="D852" s="3"/>
      <c r="E852" s="3"/>
      <c r="F852" s="3"/>
    </row>
    <row r="853" ht="15.75" customHeight="1">
      <c r="A853" s="3"/>
      <c r="B853" s="3"/>
      <c r="C853" s="3"/>
      <c r="D853" s="3"/>
      <c r="E853" s="3"/>
      <c r="F853" s="3"/>
    </row>
    <row r="854" ht="15.75" customHeight="1">
      <c r="A854" s="3"/>
      <c r="B854" s="3"/>
      <c r="C854" s="3"/>
      <c r="D854" s="3"/>
      <c r="E854" s="3"/>
      <c r="F854" s="3"/>
    </row>
    <row r="855" ht="15.75" customHeight="1">
      <c r="A855" s="3"/>
      <c r="B855" s="3"/>
      <c r="C855" s="3"/>
      <c r="D855" s="3"/>
      <c r="E855" s="3"/>
      <c r="F855" s="3"/>
    </row>
    <row r="856" ht="15.75" customHeight="1">
      <c r="A856" s="3"/>
      <c r="B856" s="3"/>
      <c r="C856" s="3"/>
      <c r="D856" s="3"/>
      <c r="E856" s="3"/>
      <c r="F856" s="3"/>
    </row>
    <row r="857" ht="15.75" customHeight="1">
      <c r="A857" s="3"/>
      <c r="B857" s="3"/>
      <c r="C857" s="3"/>
      <c r="D857" s="3"/>
      <c r="E857" s="3"/>
      <c r="F857" s="3"/>
    </row>
    <row r="858" ht="15.75" customHeight="1">
      <c r="A858" s="3"/>
      <c r="B858" s="3"/>
      <c r="C858" s="3"/>
      <c r="D858" s="3"/>
      <c r="E858" s="3"/>
      <c r="F858" s="3"/>
    </row>
    <row r="859" ht="15.75" customHeight="1">
      <c r="A859" s="3"/>
      <c r="B859" s="3"/>
      <c r="C859" s="3"/>
      <c r="D859" s="3"/>
      <c r="E859" s="3"/>
      <c r="F859" s="3"/>
    </row>
    <row r="860" ht="15.75" customHeight="1">
      <c r="A860" s="3"/>
      <c r="B860" s="3"/>
      <c r="C860" s="3"/>
      <c r="D860" s="3"/>
      <c r="E860" s="3"/>
      <c r="F860" s="3"/>
    </row>
    <row r="861" ht="15.75" customHeight="1">
      <c r="A861" s="3"/>
      <c r="B861" s="3"/>
      <c r="C861" s="3"/>
      <c r="D861" s="3"/>
      <c r="E861" s="3"/>
      <c r="F861" s="3"/>
    </row>
    <row r="862" ht="15.75" customHeight="1">
      <c r="A862" s="3"/>
      <c r="B862" s="3"/>
      <c r="C862" s="3"/>
      <c r="D862" s="3"/>
      <c r="E862" s="3"/>
      <c r="F862" s="3"/>
    </row>
    <row r="863" ht="15.75" customHeight="1">
      <c r="A863" s="3"/>
      <c r="B863" s="3"/>
      <c r="C863" s="3"/>
      <c r="D863" s="3"/>
      <c r="E863" s="3"/>
      <c r="F863" s="3"/>
    </row>
    <row r="864" ht="15.75" customHeight="1">
      <c r="A864" s="3"/>
      <c r="B864" s="3"/>
      <c r="C864" s="3"/>
      <c r="D864" s="3"/>
      <c r="E864" s="3"/>
      <c r="F864" s="3"/>
    </row>
    <row r="865" ht="15.75" customHeight="1">
      <c r="A865" s="3"/>
      <c r="B865" s="3"/>
      <c r="C865" s="3"/>
      <c r="D865" s="3"/>
      <c r="E865" s="3"/>
      <c r="F865" s="3"/>
    </row>
    <row r="866" ht="15.75" customHeight="1">
      <c r="A866" s="3"/>
      <c r="B866" s="3"/>
      <c r="C866" s="3"/>
      <c r="D866" s="3"/>
      <c r="E866" s="3"/>
      <c r="F866" s="3"/>
    </row>
    <row r="867" ht="15.75" customHeight="1">
      <c r="A867" s="3"/>
      <c r="B867" s="3"/>
      <c r="C867" s="3"/>
      <c r="D867" s="3"/>
      <c r="E867" s="3"/>
      <c r="F867" s="3"/>
    </row>
    <row r="868" ht="15.75" customHeight="1">
      <c r="A868" s="3"/>
      <c r="B868" s="3"/>
      <c r="C868" s="3"/>
      <c r="D868" s="3"/>
      <c r="E868" s="3"/>
      <c r="F868" s="3"/>
    </row>
    <row r="869" ht="15.75" customHeight="1">
      <c r="A869" s="3"/>
      <c r="B869" s="3"/>
      <c r="C869" s="3"/>
      <c r="D869" s="3"/>
      <c r="E869" s="3"/>
      <c r="F869" s="3"/>
    </row>
    <row r="870" ht="15.75" customHeight="1">
      <c r="A870" s="3"/>
      <c r="B870" s="3"/>
      <c r="C870" s="3"/>
      <c r="D870" s="3"/>
      <c r="E870" s="3"/>
      <c r="F870" s="3"/>
    </row>
    <row r="871" ht="15.75" customHeight="1">
      <c r="A871" s="3"/>
      <c r="B871" s="3"/>
      <c r="C871" s="3"/>
      <c r="D871" s="3"/>
      <c r="E871" s="3"/>
      <c r="F871" s="3"/>
    </row>
    <row r="872" ht="15.75" customHeight="1">
      <c r="A872" s="3"/>
      <c r="B872" s="3"/>
      <c r="C872" s="3"/>
      <c r="D872" s="3"/>
      <c r="E872" s="3"/>
      <c r="F872" s="3"/>
    </row>
    <row r="873" ht="15.75" customHeight="1">
      <c r="A873" s="3"/>
      <c r="B873" s="3"/>
      <c r="C873" s="3"/>
      <c r="D873" s="3"/>
      <c r="E873" s="3"/>
      <c r="F873" s="3"/>
    </row>
    <row r="874" ht="15.75" customHeight="1">
      <c r="A874" s="3"/>
      <c r="B874" s="3"/>
      <c r="C874" s="3"/>
      <c r="D874" s="3"/>
      <c r="E874" s="3"/>
      <c r="F874" s="3"/>
    </row>
    <row r="875" ht="15.75" customHeight="1">
      <c r="A875" s="3"/>
      <c r="B875" s="3"/>
      <c r="C875" s="3"/>
      <c r="D875" s="3"/>
      <c r="E875" s="3"/>
      <c r="F875" s="3"/>
    </row>
    <row r="876" ht="15.75" customHeight="1">
      <c r="A876" s="3"/>
      <c r="B876" s="3"/>
      <c r="C876" s="3"/>
      <c r="D876" s="3"/>
      <c r="E876" s="3"/>
      <c r="F876" s="3"/>
    </row>
    <row r="877" ht="15.75" customHeight="1">
      <c r="A877" s="3"/>
      <c r="B877" s="3"/>
      <c r="C877" s="3"/>
      <c r="D877" s="3"/>
      <c r="E877" s="3"/>
      <c r="F877" s="3"/>
    </row>
    <row r="878" ht="15.75" customHeight="1">
      <c r="A878" s="3"/>
      <c r="B878" s="3"/>
      <c r="C878" s="3"/>
      <c r="D878" s="3"/>
      <c r="E878" s="3"/>
      <c r="F878" s="3"/>
    </row>
    <row r="879" ht="15.75" customHeight="1">
      <c r="A879" s="3"/>
      <c r="B879" s="3"/>
      <c r="C879" s="3"/>
      <c r="D879" s="3"/>
      <c r="E879" s="3"/>
      <c r="F879" s="3"/>
    </row>
    <row r="880" ht="15.75" customHeight="1">
      <c r="A880" s="3"/>
      <c r="B880" s="3"/>
      <c r="C880" s="3"/>
      <c r="D880" s="3"/>
      <c r="E880" s="3"/>
      <c r="F880" s="3"/>
    </row>
    <row r="881" ht="15.75" customHeight="1">
      <c r="A881" s="3"/>
      <c r="B881" s="3"/>
      <c r="C881" s="3"/>
      <c r="D881" s="3"/>
      <c r="E881" s="3"/>
      <c r="F881" s="3"/>
    </row>
    <row r="882" ht="15.75" customHeight="1">
      <c r="A882" s="3"/>
      <c r="B882" s="3"/>
      <c r="C882" s="3"/>
      <c r="D882" s="3"/>
      <c r="E882" s="3"/>
      <c r="F882" s="3"/>
    </row>
    <row r="883" ht="15.75" customHeight="1">
      <c r="A883" s="3"/>
      <c r="B883" s="3"/>
      <c r="C883" s="3"/>
      <c r="D883" s="3"/>
      <c r="E883" s="3"/>
      <c r="F883" s="3"/>
    </row>
    <row r="884" ht="15.75" customHeight="1">
      <c r="A884" s="3"/>
      <c r="B884" s="3"/>
      <c r="C884" s="3"/>
      <c r="D884" s="3"/>
      <c r="E884" s="3"/>
      <c r="F884" s="3"/>
    </row>
    <row r="885" ht="15.75" customHeight="1">
      <c r="A885" s="3"/>
      <c r="B885" s="3"/>
      <c r="C885" s="3"/>
      <c r="D885" s="3"/>
      <c r="E885" s="3"/>
      <c r="F885" s="3"/>
    </row>
    <row r="886" ht="15.75" customHeight="1">
      <c r="A886" s="3"/>
      <c r="B886" s="3"/>
      <c r="C886" s="3"/>
      <c r="D886" s="3"/>
      <c r="E886" s="3"/>
      <c r="F886" s="3"/>
    </row>
    <row r="887" ht="15.75" customHeight="1">
      <c r="A887" s="3"/>
      <c r="B887" s="3"/>
      <c r="C887" s="3"/>
      <c r="D887" s="3"/>
      <c r="E887" s="3"/>
      <c r="F887" s="3"/>
    </row>
    <row r="888" ht="15.75" customHeight="1">
      <c r="A888" s="3"/>
      <c r="B888" s="3"/>
      <c r="C888" s="3"/>
      <c r="D888" s="3"/>
      <c r="E888" s="3"/>
      <c r="F888" s="3"/>
    </row>
    <row r="889" ht="15.75" customHeight="1">
      <c r="A889" s="3"/>
      <c r="B889" s="3"/>
      <c r="C889" s="3"/>
      <c r="D889" s="3"/>
      <c r="E889" s="3"/>
      <c r="F889" s="3"/>
    </row>
    <row r="890" ht="15.75" customHeight="1">
      <c r="A890" s="3"/>
      <c r="B890" s="3"/>
      <c r="C890" s="3"/>
      <c r="D890" s="3"/>
      <c r="E890" s="3"/>
      <c r="F890" s="3"/>
    </row>
    <row r="891" ht="15.75" customHeight="1">
      <c r="A891" s="3"/>
      <c r="B891" s="3"/>
      <c r="C891" s="3"/>
      <c r="D891" s="3"/>
      <c r="E891" s="3"/>
      <c r="F891" s="3"/>
    </row>
    <row r="892" ht="15.75" customHeight="1">
      <c r="A892" s="3"/>
      <c r="B892" s="3"/>
      <c r="C892" s="3"/>
      <c r="D892" s="3"/>
      <c r="E892" s="3"/>
      <c r="F892" s="3"/>
    </row>
    <row r="893" ht="15.75" customHeight="1">
      <c r="A893" s="3"/>
      <c r="B893" s="3"/>
      <c r="C893" s="3"/>
      <c r="D893" s="3"/>
      <c r="E893" s="3"/>
      <c r="F893" s="3"/>
    </row>
    <row r="894" ht="15.75" customHeight="1">
      <c r="A894" s="3"/>
      <c r="B894" s="3"/>
      <c r="C894" s="3"/>
      <c r="D894" s="3"/>
      <c r="E894" s="3"/>
      <c r="F894" s="3"/>
    </row>
    <row r="895" ht="15.75" customHeight="1">
      <c r="A895" s="3"/>
      <c r="B895" s="3"/>
      <c r="C895" s="3"/>
      <c r="D895" s="3"/>
      <c r="E895" s="3"/>
      <c r="F895" s="3"/>
    </row>
    <row r="896" ht="15.75" customHeight="1">
      <c r="A896" s="3"/>
      <c r="B896" s="3"/>
      <c r="C896" s="3"/>
      <c r="D896" s="3"/>
      <c r="E896" s="3"/>
      <c r="F896" s="3"/>
    </row>
    <row r="897" ht="15.75" customHeight="1">
      <c r="A897" s="3"/>
      <c r="B897" s="3"/>
      <c r="C897" s="3"/>
      <c r="D897" s="3"/>
      <c r="E897" s="3"/>
      <c r="F897" s="3"/>
    </row>
    <row r="898" ht="15.75" customHeight="1">
      <c r="A898" s="3"/>
      <c r="B898" s="3"/>
      <c r="C898" s="3"/>
      <c r="D898" s="3"/>
      <c r="E898" s="3"/>
      <c r="F898" s="3"/>
    </row>
    <row r="899" ht="15.75" customHeight="1">
      <c r="A899" s="3"/>
      <c r="B899" s="3"/>
      <c r="C899" s="3"/>
      <c r="D899" s="3"/>
      <c r="E899" s="3"/>
      <c r="F899" s="3"/>
    </row>
    <row r="900" ht="15.75" customHeight="1">
      <c r="A900" s="3"/>
      <c r="B900" s="3"/>
      <c r="C900" s="3"/>
      <c r="D900" s="3"/>
      <c r="E900" s="3"/>
      <c r="F900" s="3"/>
    </row>
    <row r="901" ht="15.75" customHeight="1">
      <c r="A901" s="3"/>
      <c r="B901" s="3"/>
      <c r="C901" s="3"/>
      <c r="D901" s="3"/>
      <c r="E901" s="3"/>
      <c r="F901" s="3"/>
    </row>
    <row r="902" ht="15.75" customHeight="1">
      <c r="A902" s="3"/>
      <c r="B902" s="3"/>
      <c r="C902" s="3"/>
      <c r="D902" s="3"/>
      <c r="E902" s="3"/>
      <c r="F902" s="3"/>
    </row>
    <row r="903" ht="15.75" customHeight="1">
      <c r="A903" s="3"/>
      <c r="B903" s="3"/>
      <c r="C903" s="3"/>
      <c r="D903" s="3"/>
      <c r="E903" s="3"/>
      <c r="F903" s="3"/>
    </row>
    <row r="904" ht="15.75" customHeight="1">
      <c r="A904" s="3"/>
      <c r="B904" s="3"/>
      <c r="C904" s="3"/>
      <c r="D904" s="3"/>
      <c r="E904" s="3"/>
      <c r="F904" s="3"/>
    </row>
    <row r="905" ht="15.75" customHeight="1">
      <c r="A905" s="3"/>
      <c r="B905" s="3"/>
      <c r="C905" s="3"/>
      <c r="D905" s="3"/>
      <c r="E905" s="3"/>
      <c r="F905" s="3"/>
    </row>
    <row r="906" ht="15.75" customHeight="1">
      <c r="A906" s="3"/>
      <c r="B906" s="3"/>
      <c r="C906" s="3"/>
      <c r="D906" s="3"/>
      <c r="E906" s="3"/>
      <c r="F906" s="3"/>
    </row>
    <row r="907" ht="15.75" customHeight="1">
      <c r="A907" s="3"/>
      <c r="B907" s="3"/>
      <c r="C907" s="3"/>
      <c r="D907" s="3"/>
      <c r="E907" s="3"/>
      <c r="F907" s="3"/>
    </row>
    <row r="908" ht="15.75" customHeight="1">
      <c r="A908" s="3"/>
      <c r="B908" s="3"/>
      <c r="C908" s="3"/>
      <c r="D908" s="3"/>
      <c r="E908" s="3"/>
      <c r="F908" s="3"/>
    </row>
    <row r="909" ht="15.75" customHeight="1">
      <c r="A909" s="3"/>
      <c r="B909" s="3"/>
      <c r="C909" s="3"/>
      <c r="D909" s="3"/>
      <c r="E909" s="3"/>
      <c r="F909" s="3"/>
    </row>
    <row r="910" ht="15.75" customHeight="1">
      <c r="A910" s="3"/>
      <c r="B910" s="3"/>
      <c r="C910" s="3"/>
      <c r="D910" s="3"/>
      <c r="E910" s="3"/>
      <c r="F910" s="3"/>
    </row>
    <row r="911" ht="15.75" customHeight="1">
      <c r="A911" s="3"/>
      <c r="B911" s="3"/>
      <c r="C911" s="3"/>
      <c r="D911" s="3"/>
      <c r="E911" s="3"/>
      <c r="F911" s="3"/>
    </row>
    <row r="912" ht="15.75" customHeight="1">
      <c r="A912" s="3"/>
      <c r="B912" s="3"/>
      <c r="C912" s="3"/>
      <c r="D912" s="3"/>
      <c r="E912" s="3"/>
      <c r="F912" s="3"/>
    </row>
    <row r="913" ht="15.75" customHeight="1">
      <c r="A913" s="3"/>
      <c r="B913" s="3"/>
      <c r="C913" s="3"/>
      <c r="D913" s="3"/>
      <c r="E913" s="3"/>
      <c r="F913" s="3"/>
    </row>
    <row r="914" ht="15.75" customHeight="1">
      <c r="A914" s="3"/>
      <c r="B914" s="3"/>
      <c r="C914" s="3"/>
      <c r="D914" s="3"/>
      <c r="E914" s="3"/>
      <c r="F914" s="3"/>
    </row>
    <row r="915" ht="15.75" customHeight="1">
      <c r="A915" s="3"/>
      <c r="B915" s="3"/>
      <c r="C915" s="3"/>
      <c r="D915" s="3"/>
      <c r="E915" s="3"/>
      <c r="F915" s="3"/>
    </row>
    <row r="916" ht="15.75" customHeight="1">
      <c r="A916" s="3"/>
      <c r="B916" s="3"/>
      <c r="C916" s="3"/>
      <c r="D916" s="3"/>
      <c r="E916" s="3"/>
      <c r="F916" s="3"/>
    </row>
    <row r="917" ht="15.75" customHeight="1">
      <c r="A917" s="3"/>
      <c r="B917" s="3"/>
      <c r="C917" s="3"/>
      <c r="D917" s="3"/>
      <c r="E917" s="3"/>
      <c r="F917" s="3"/>
    </row>
    <row r="918" ht="15.75" customHeight="1">
      <c r="A918" s="3"/>
      <c r="B918" s="3"/>
      <c r="C918" s="3"/>
      <c r="D918" s="3"/>
      <c r="E918" s="3"/>
      <c r="F918" s="3"/>
    </row>
    <row r="919" ht="15.75" customHeight="1">
      <c r="A919" s="3"/>
      <c r="B919" s="3"/>
      <c r="C919" s="3"/>
      <c r="D919" s="3"/>
      <c r="E919" s="3"/>
      <c r="F919" s="3"/>
    </row>
    <row r="920" ht="15.75" customHeight="1">
      <c r="A920" s="3"/>
      <c r="B920" s="3"/>
      <c r="C920" s="3"/>
      <c r="D920" s="3"/>
      <c r="E920" s="3"/>
      <c r="F920" s="3"/>
    </row>
    <row r="921" ht="15.75" customHeight="1">
      <c r="A921" s="3"/>
      <c r="B921" s="3"/>
      <c r="C921" s="3"/>
      <c r="D921" s="3"/>
      <c r="E921" s="3"/>
      <c r="F921" s="3"/>
    </row>
    <row r="922" ht="15.75" customHeight="1">
      <c r="A922" s="3"/>
      <c r="B922" s="3"/>
      <c r="C922" s="3"/>
      <c r="D922" s="3"/>
      <c r="E922" s="3"/>
      <c r="F922" s="3"/>
    </row>
    <row r="923" ht="15.75" customHeight="1">
      <c r="A923" s="3"/>
      <c r="B923" s="3"/>
      <c r="C923" s="3"/>
      <c r="D923" s="3"/>
      <c r="E923" s="3"/>
      <c r="F923" s="3"/>
    </row>
    <row r="924" ht="15.75" customHeight="1">
      <c r="A924" s="3"/>
      <c r="B924" s="3"/>
      <c r="C924" s="3"/>
      <c r="D924" s="3"/>
      <c r="E924" s="3"/>
      <c r="F924" s="3"/>
    </row>
    <row r="925" ht="15.75" customHeight="1">
      <c r="A925" s="3"/>
      <c r="B925" s="3"/>
      <c r="C925" s="3"/>
      <c r="D925" s="3"/>
      <c r="E925" s="3"/>
      <c r="F925" s="3"/>
    </row>
    <row r="926" ht="15.75" customHeight="1">
      <c r="A926" s="3"/>
      <c r="B926" s="3"/>
      <c r="C926" s="3"/>
      <c r="D926" s="3"/>
      <c r="E926" s="3"/>
      <c r="F926" s="3"/>
    </row>
    <row r="927" ht="15.75" customHeight="1">
      <c r="A927" s="3"/>
      <c r="B927" s="3"/>
      <c r="C927" s="3"/>
      <c r="D927" s="3"/>
      <c r="E927" s="3"/>
      <c r="F927" s="3"/>
    </row>
    <row r="928" ht="15.75" customHeight="1">
      <c r="A928" s="3"/>
      <c r="B928" s="3"/>
      <c r="C928" s="3"/>
      <c r="D928" s="3"/>
      <c r="E928" s="3"/>
      <c r="F928" s="3"/>
    </row>
    <row r="929" ht="15.75" customHeight="1">
      <c r="A929" s="3"/>
      <c r="B929" s="3"/>
      <c r="C929" s="3"/>
      <c r="D929" s="3"/>
      <c r="E929" s="3"/>
      <c r="F929" s="3"/>
    </row>
    <row r="930" ht="15.75" customHeight="1">
      <c r="A930" s="3"/>
      <c r="B930" s="3"/>
      <c r="C930" s="3"/>
      <c r="D930" s="3"/>
      <c r="E930" s="3"/>
      <c r="F930" s="3"/>
    </row>
    <row r="931" ht="15.75" customHeight="1">
      <c r="A931" s="3"/>
      <c r="B931" s="3"/>
      <c r="C931" s="3"/>
      <c r="D931" s="3"/>
      <c r="E931" s="3"/>
      <c r="F931" s="3"/>
    </row>
    <row r="932" ht="15.75" customHeight="1">
      <c r="A932" s="3"/>
      <c r="B932" s="3"/>
      <c r="C932" s="3"/>
      <c r="D932" s="3"/>
      <c r="E932" s="3"/>
      <c r="F932" s="3"/>
    </row>
    <row r="933" ht="15.75" customHeight="1">
      <c r="A933" s="3"/>
      <c r="B933" s="3"/>
      <c r="C933" s="3"/>
      <c r="D933" s="3"/>
      <c r="E933" s="3"/>
      <c r="F933" s="3"/>
    </row>
    <row r="934" ht="15.75" customHeight="1">
      <c r="A934" s="3"/>
      <c r="B934" s="3"/>
      <c r="C934" s="3"/>
      <c r="D934" s="3"/>
      <c r="E934" s="3"/>
      <c r="F934" s="3"/>
    </row>
    <row r="935" ht="15.75" customHeight="1">
      <c r="A935" s="3"/>
      <c r="B935" s="3"/>
      <c r="C935" s="3"/>
      <c r="D935" s="3"/>
      <c r="E935" s="3"/>
      <c r="F935" s="3"/>
    </row>
    <row r="936" ht="15.75" customHeight="1">
      <c r="A936" s="3"/>
      <c r="B936" s="3"/>
      <c r="C936" s="3"/>
      <c r="D936" s="3"/>
      <c r="E936" s="3"/>
      <c r="F936" s="3"/>
    </row>
    <row r="937" ht="15.75" customHeight="1">
      <c r="A937" s="3"/>
      <c r="B937" s="3"/>
      <c r="C937" s="3"/>
      <c r="D937" s="3"/>
      <c r="E937" s="3"/>
      <c r="F937" s="3"/>
    </row>
    <row r="938" ht="15.75" customHeight="1">
      <c r="A938" s="3"/>
      <c r="B938" s="3"/>
      <c r="C938" s="3"/>
      <c r="D938" s="3"/>
      <c r="E938" s="3"/>
      <c r="F938" s="3"/>
    </row>
    <row r="939" ht="15.75" customHeight="1">
      <c r="A939" s="3"/>
      <c r="B939" s="3"/>
      <c r="C939" s="3"/>
      <c r="D939" s="3"/>
      <c r="E939" s="3"/>
      <c r="F939" s="3"/>
    </row>
    <row r="940" ht="15.75" customHeight="1">
      <c r="A940" s="3"/>
      <c r="B940" s="3"/>
      <c r="C940" s="3"/>
      <c r="D940" s="3"/>
      <c r="E940" s="3"/>
      <c r="F940" s="3"/>
    </row>
    <row r="941" ht="15.75" customHeight="1">
      <c r="A941" s="3"/>
      <c r="B941" s="3"/>
      <c r="C941" s="3"/>
      <c r="D941" s="3"/>
      <c r="E941" s="3"/>
      <c r="F941" s="3"/>
    </row>
    <row r="942" ht="15.75" customHeight="1">
      <c r="A942" s="3"/>
      <c r="B942" s="3"/>
      <c r="C942" s="3"/>
      <c r="D942" s="3"/>
      <c r="E942" s="3"/>
      <c r="F942" s="3"/>
    </row>
    <row r="943" ht="15.75" customHeight="1">
      <c r="A943" s="3"/>
      <c r="B943" s="3"/>
      <c r="C943" s="3"/>
      <c r="D943" s="3"/>
      <c r="E943" s="3"/>
      <c r="F943" s="3"/>
    </row>
    <row r="944" ht="15.75" customHeight="1">
      <c r="A944" s="3"/>
      <c r="B944" s="3"/>
      <c r="C944" s="3"/>
      <c r="D944" s="3"/>
      <c r="E944" s="3"/>
      <c r="F944" s="3"/>
    </row>
    <row r="945" ht="15.75" customHeight="1">
      <c r="A945" s="3"/>
      <c r="B945" s="3"/>
      <c r="C945" s="3"/>
      <c r="D945" s="3"/>
      <c r="E945" s="3"/>
      <c r="F945" s="3"/>
    </row>
    <row r="946" ht="15.75" customHeight="1">
      <c r="A946" s="3"/>
      <c r="B946" s="3"/>
      <c r="C946" s="3"/>
      <c r="D946" s="3"/>
      <c r="E946" s="3"/>
      <c r="F946" s="3"/>
    </row>
    <row r="947" ht="15.75" customHeight="1">
      <c r="A947" s="3"/>
      <c r="B947" s="3"/>
      <c r="C947" s="3"/>
      <c r="D947" s="3"/>
      <c r="E947" s="3"/>
      <c r="F947" s="3"/>
    </row>
    <row r="948" ht="15.75" customHeight="1">
      <c r="A948" s="3"/>
      <c r="B948" s="3"/>
      <c r="C948" s="3"/>
      <c r="D948" s="3"/>
      <c r="E948" s="3"/>
      <c r="F948" s="3"/>
    </row>
    <row r="949" ht="15.75" customHeight="1">
      <c r="A949" s="3"/>
      <c r="B949" s="3"/>
      <c r="C949" s="3"/>
      <c r="D949" s="3"/>
      <c r="E949" s="3"/>
      <c r="F949" s="3"/>
    </row>
    <row r="950" ht="15.75" customHeight="1">
      <c r="A950" s="3"/>
      <c r="B950" s="3"/>
      <c r="C950" s="3"/>
      <c r="D950" s="3"/>
      <c r="E950" s="3"/>
      <c r="F950" s="3"/>
    </row>
    <row r="951" ht="15.75" customHeight="1">
      <c r="A951" s="3"/>
      <c r="B951" s="3"/>
      <c r="C951" s="3"/>
      <c r="D951" s="3"/>
      <c r="E951" s="3"/>
      <c r="F951" s="3"/>
    </row>
    <row r="952" ht="15.75" customHeight="1">
      <c r="A952" s="3"/>
      <c r="B952" s="3"/>
      <c r="C952" s="3"/>
      <c r="D952" s="3"/>
      <c r="E952" s="3"/>
      <c r="F952" s="3"/>
    </row>
    <row r="953" ht="15.75" customHeight="1">
      <c r="A953" s="3"/>
      <c r="B953" s="3"/>
      <c r="C953" s="3"/>
      <c r="D953" s="3"/>
      <c r="E953" s="3"/>
      <c r="F953" s="3"/>
    </row>
    <row r="954" ht="15.75" customHeight="1">
      <c r="A954" s="3"/>
      <c r="B954" s="3"/>
      <c r="C954" s="3"/>
      <c r="D954" s="3"/>
      <c r="E954" s="3"/>
      <c r="F954" s="3"/>
    </row>
    <row r="955" ht="15.75" customHeight="1">
      <c r="A955" s="3"/>
      <c r="B955" s="3"/>
      <c r="C955" s="3"/>
      <c r="D955" s="3"/>
      <c r="E955" s="3"/>
      <c r="F955" s="3"/>
    </row>
    <row r="956" ht="15.75" customHeight="1">
      <c r="A956" s="3"/>
      <c r="B956" s="3"/>
      <c r="C956" s="3"/>
      <c r="D956" s="3"/>
      <c r="E956" s="3"/>
      <c r="F956" s="3"/>
    </row>
    <row r="957" ht="15.75" customHeight="1">
      <c r="A957" s="3"/>
      <c r="B957" s="3"/>
      <c r="C957" s="3"/>
      <c r="D957" s="3"/>
      <c r="E957" s="3"/>
      <c r="F957" s="3"/>
    </row>
    <row r="958" ht="15.75" customHeight="1">
      <c r="A958" s="3"/>
      <c r="B958" s="3"/>
      <c r="C958" s="3"/>
      <c r="D958" s="3"/>
      <c r="E958" s="3"/>
      <c r="F958" s="3"/>
    </row>
    <row r="959" ht="15.75" customHeight="1">
      <c r="A959" s="3"/>
      <c r="B959" s="3"/>
      <c r="C959" s="3"/>
      <c r="D959" s="3"/>
      <c r="E959" s="3"/>
      <c r="F959" s="3"/>
    </row>
    <row r="960" ht="15.75" customHeight="1">
      <c r="A960" s="3"/>
      <c r="B960" s="3"/>
      <c r="C960" s="3"/>
      <c r="D960" s="3"/>
      <c r="E960" s="3"/>
      <c r="F960" s="3"/>
    </row>
    <row r="961" ht="15.75" customHeight="1">
      <c r="A961" s="3"/>
      <c r="B961" s="3"/>
      <c r="C961" s="3"/>
      <c r="D961" s="3"/>
      <c r="E961" s="3"/>
      <c r="F961" s="3"/>
    </row>
    <row r="962" ht="15.75" customHeight="1">
      <c r="A962" s="3"/>
      <c r="B962" s="3"/>
      <c r="C962" s="3"/>
      <c r="D962" s="3"/>
      <c r="E962" s="3"/>
      <c r="F962" s="3"/>
    </row>
    <row r="963" ht="15.75" customHeight="1">
      <c r="A963" s="3"/>
      <c r="B963" s="3"/>
      <c r="C963" s="3"/>
      <c r="D963" s="3"/>
      <c r="E963" s="3"/>
      <c r="F963" s="3"/>
    </row>
    <row r="964" ht="15.75" customHeight="1">
      <c r="A964" s="3"/>
      <c r="B964" s="3"/>
      <c r="C964" s="3"/>
      <c r="D964" s="3"/>
      <c r="E964" s="3"/>
      <c r="F964" s="3"/>
    </row>
    <row r="965" ht="15.75" customHeight="1">
      <c r="A965" s="3"/>
      <c r="B965" s="3"/>
      <c r="C965" s="3"/>
      <c r="D965" s="3"/>
      <c r="E965" s="3"/>
      <c r="F965" s="3"/>
    </row>
    <row r="966" ht="15.75" customHeight="1">
      <c r="A966" s="3"/>
      <c r="B966" s="3"/>
      <c r="C966" s="3"/>
      <c r="D966" s="3"/>
      <c r="E966" s="3"/>
      <c r="F966" s="3"/>
    </row>
    <row r="967" ht="15.75" customHeight="1">
      <c r="A967" s="3"/>
      <c r="B967" s="3"/>
      <c r="C967" s="3"/>
      <c r="D967" s="3"/>
      <c r="E967" s="3"/>
      <c r="F967" s="3"/>
    </row>
    <row r="968" ht="15.75" customHeight="1">
      <c r="A968" s="3"/>
      <c r="B968" s="3"/>
      <c r="C968" s="3"/>
      <c r="D968" s="3"/>
      <c r="E968" s="3"/>
      <c r="F968" s="3"/>
    </row>
    <row r="969" ht="15.75" customHeight="1">
      <c r="A969" s="3"/>
      <c r="B969" s="3"/>
      <c r="C969" s="3"/>
      <c r="D969" s="3"/>
      <c r="E969" s="3"/>
      <c r="F969" s="3"/>
    </row>
    <row r="970" ht="15.75" customHeight="1">
      <c r="A970" s="3"/>
      <c r="B970" s="3"/>
      <c r="C970" s="3"/>
      <c r="D970" s="3"/>
      <c r="E970" s="3"/>
      <c r="F970" s="3"/>
    </row>
    <row r="971" ht="15.75" customHeight="1">
      <c r="A971" s="3"/>
      <c r="B971" s="3"/>
      <c r="C971" s="3"/>
      <c r="D971" s="3"/>
      <c r="E971" s="3"/>
      <c r="F971" s="3"/>
    </row>
    <row r="972" ht="15.75" customHeight="1">
      <c r="A972" s="3"/>
      <c r="B972" s="3"/>
      <c r="C972" s="3"/>
      <c r="D972" s="3"/>
      <c r="E972" s="3"/>
      <c r="F972" s="3"/>
    </row>
    <row r="973" ht="15.75" customHeight="1">
      <c r="A973" s="3"/>
      <c r="B973" s="3"/>
      <c r="C973" s="3"/>
      <c r="D973" s="3"/>
      <c r="E973" s="3"/>
      <c r="F973" s="3"/>
    </row>
    <row r="974" ht="15.75" customHeight="1">
      <c r="A974" s="3"/>
      <c r="B974" s="3"/>
      <c r="C974" s="3"/>
      <c r="D974" s="3"/>
      <c r="E974" s="3"/>
      <c r="F974" s="3"/>
    </row>
    <row r="975" ht="15.75" customHeight="1">
      <c r="A975" s="3"/>
      <c r="B975" s="3"/>
      <c r="C975" s="3"/>
      <c r="D975" s="3"/>
      <c r="E975" s="3"/>
      <c r="F975" s="3"/>
    </row>
    <row r="976" ht="15.75" customHeight="1">
      <c r="A976" s="3"/>
      <c r="B976" s="3"/>
      <c r="C976" s="3"/>
      <c r="D976" s="3"/>
      <c r="E976" s="3"/>
      <c r="F976" s="3"/>
    </row>
    <row r="977" ht="15.75" customHeight="1">
      <c r="A977" s="3"/>
      <c r="B977" s="3"/>
      <c r="C977" s="3"/>
      <c r="D977" s="3"/>
      <c r="E977" s="3"/>
      <c r="F977" s="3"/>
    </row>
    <row r="978" ht="15.75" customHeight="1">
      <c r="A978" s="3"/>
      <c r="B978" s="3"/>
      <c r="C978" s="3"/>
      <c r="D978" s="3"/>
      <c r="E978" s="3"/>
      <c r="F978" s="3"/>
    </row>
    <row r="979" ht="15.75" customHeight="1">
      <c r="A979" s="3"/>
      <c r="B979" s="3"/>
      <c r="C979" s="3"/>
      <c r="D979" s="3"/>
      <c r="E979" s="3"/>
      <c r="F979" s="3"/>
    </row>
    <row r="980" ht="15.75" customHeight="1">
      <c r="A980" s="3"/>
      <c r="B980" s="3"/>
      <c r="C980" s="3"/>
      <c r="D980" s="3"/>
      <c r="E980" s="3"/>
      <c r="F980" s="3"/>
    </row>
    <row r="981" ht="15.75" customHeight="1">
      <c r="A981" s="3"/>
      <c r="B981" s="3"/>
      <c r="C981" s="3"/>
      <c r="D981" s="3"/>
      <c r="E981" s="3"/>
      <c r="F981" s="3"/>
    </row>
    <row r="982" ht="15.75" customHeight="1">
      <c r="A982" s="3"/>
      <c r="B982" s="3"/>
      <c r="C982" s="3"/>
      <c r="D982" s="3"/>
      <c r="E982" s="3"/>
      <c r="F982" s="3"/>
    </row>
    <row r="983" ht="15.75" customHeight="1">
      <c r="A983" s="3"/>
      <c r="B983" s="3"/>
      <c r="C983" s="3"/>
      <c r="D983" s="3"/>
      <c r="E983" s="3"/>
      <c r="F983" s="3"/>
    </row>
    <row r="984" ht="15.75" customHeight="1">
      <c r="A984" s="3"/>
      <c r="B984" s="3"/>
      <c r="C984" s="3"/>
      <c r="D984" s="3"/>
      <c r="E984" s="3"/>
      <c r="F984" s="3"/>
    </row>
    <row r="985" ht="15.75" customHeight="1">
      <c r="A985" s="3"/>
      <c r="B985" s="3"/>
      <c r="C985" s="3"/>
      <c r="D985" s="3"/>
      <c r="E985" s="3"/>
      <c r="F985" s="3"/>
    </row>
    <row r="986" ht="15.75" customHeight="1">
      <c r="A986" s="3"/>
      <c r="B986" s="3"/>
      <c r="C986" s="3"/>
      <c r="D986" s="3"/>
      <c r="E986" s="3"/>
      <c r="F986" s="3"/>
    </row>
    <row r="987" ht="15.75" customHeight="1">
      <c r="A987" s="3"/>
      <c r="B987" s="3"/>
      <c r="C987" s="3"/>
      <c r="D987" s="3"/>
      <c r="E987" s="3"/>
      <c r="F987" s="3"/>
    </row>
    <row r="988" ht="15.75" customHeight="1">
      <c r="A988" s="3"/>
      <c r="B988" s="3"/>
      <c r="C988" s="3"/>
      <c r="D988" s="3"/>
      <c r="E988" s="3"/>
      <c r="F988" s="3"/>
    </row>
    <row r="989" ht="15.75" customHeight="1">
      <c r="A989" s="3"/>
      <c r="B989" s="3"/>
      <c r="C989" s="3"/>
      <c r="D989" s="3"/>
      <c r="E989" s="3"/>
      <c r="F989" s="3"/>
    </row>
    <row r="990" ht="15.75" customHeight="1">
      <c r="A990" s="3"/>
      <c r="B990" s="3"/>
      <c r="C990" s="3"/>
      <c r="D990" s="3"/>
      <c r="E990" s="3"/>
      <c r="F990" s="3"/>
    </row>
    <row r="991" ht="15.75" customHeight="1">
      <c r="A991" s="3"/>
      <c r="B991" s="3"/>
      <c r="C991" s="3"/>
      <c r="D991" s="3"/>
      <c r="E991" s="3"/>
      <c r="F991" s="3"/>
    </row>
    <row r="992" ht="15.75" customHeight="1">
      <c r="A992" s="3"/>
      <c r="B992" s="3"/>
      <c r="C992" s="3"/>
      <c r="D992" s="3"/>
      <c r="E992" s="3"/>
      <c r="F992" s="3"/>
    </row>
    <row r="993" ht="15.75" customHeight="1">
      <c r="A993" s="3"/>
      <c r="B993" s="3"/>
      <c r="C993" s="3"/>
      <c r="D993" s="3"/>
      <c r="E993" s="3"/>
      <c r="F993" s="3"/>
    </row>
    <row r="994" ht="15.75" customHeight="1">
      <c r="A994" s="3"/>
      <c r="B994" s="3"/>
      <c r="C994" s="3"/>
      <c r="D994" s="3"/>
      <c r="E994" s="3"/>
      <c r="F994" s="3"/>
    </row>
    <row r="995" ht="15.75" customHeight="1">
      <c r="A995" s="3"/>
      <c r="B995" s="3"/>
      <c r="C995" s="3"/>
      <c r="D995" s="3"/>
      <c r="E995" s="3"/>
      <c r="F995" s="3"/>
    </row>
    <row r="996" ht="15.75" customHeight="1">
      <c r="A996" s="3"/>
      <c r="B996" s="3"/>
      <c r="C996" s="3"/>
      <c r="D996" s="3"/>
      <c r="E996" s="3"/>
      <c r="F996" s="3"/>
    </row>
    <row r="997" ht="15.75" customHeight="1">
      <c r="A997" s="3"/>
      <c r="B997" s="3"/>
      <c r="C997" s="3"/>
      <c r="D997" s="3"/>
      <c r="E997" s="3"/>
      <c r="F997" s="3"/>
    </row>
    <row r="998" ht="15.75" customHeight="1">
      <c r="A998" s="3"/>
      <c r="B998" s="3"/>
      <c r="C998" s="3"/>
      <c r="D998" s="3"/>
      <c r="E998" s="3"/>
      <c r="F998" s="3"/>
    </row>
    <row r="999" ht="15.75" customHeight="1">
      <c r="A999" s="3"/>
      <c r="B999" s="3"/>
      <c r="C999" s="3"/>
      <c r="D999" s="3"/>
      <c r="E999" s="3"/>
      <c r="F999" s="3"/>
    </row>
    <row r="1000" ht="15.75" customHeight="1">
      <c r="A1000" s="3"/>
      <c r="B1000" s="3"/>
      <c r="C1000" s="3"/>
      <c r="D1000" s="3"/>
      <c r="E1000" s="3"/>
      <c r="F1000" s="3"/>
    </row>
  </sheetData>
  <mergeCells count="2">
    <mergeCell ref="A1:F1"/>
    <mergeCell ref="A2:F2"/>
  </mergeCells>
  <conditionalFormatting sqref="H5:Z30">
    <cfRule type="colorScale" priority="1">
      <colorScale>
        <cfvo type="formula" val="0"/>
        <cfvo type="formula" val="0.5"/>
        <cfvo type="formula" val="1"/>
        <color rgb="FFF8696B"/>
        <color rgb="FFFFEB84"/>
        <color rgb="FF63BE7B"/>
      </colorScale>
    </cfRule>
  </conditionalFormatting>
  <conditionalFormatting sqref="J5:Z30">
    <cfRule type="colorScale" priority="2">
      <colorScale>
        <cfvo type="formula" val="0"/>
        <cfvo type="formula" val="0.5"/>
        <cfvo type="formula" val="1"/>
        <color rgb="FFF8696B"/>
        <color rgb="FFFFEB84"/>
        <color rgb="FF63BE7B"/>
      </colorScale>
    </cfRule>
  </conditionalFormatting>
  <printOptions/>
  <pageMargins bottom="1.0" footer="0.0" header="0.0" left="0.75" right="0.75" top="1.0"/>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C7293"/>
    <pageSetUpPr/>
  </sheetPr>
  <sheetViews>
    <sheetView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cols>
    <col customWidth="1" min="1" max="1" width="6.0"/>
    <col customWidth="1" min="2" max="2" width="32.0"/>
    <col customWidth="1" min="3" max="3" width="10.0"/>
    <col customWidth="1" min="4" max="5" width="13.0"/>
    <col customWidth="1" min="6" max="6" width="17.0"/>
    <col customWidth="1" min="7" max="8" width="11.0"/>
    <col customWidth="1" min="9" max="9" width="22.0"/>
    <col customWidth="1" min="10" max="10" width="11.0"/>
  </cols>
  <sheetData>
    <row r="1" ht="30.0" customHeight="1">
      <c r="A1" s="109" t="s">
        <v>284</v>
      </c>
      <c r="B1" s="110"/>
      <c r="C1" s="110"/>
      <c r="D1" s="110"/>
      <c r="E1" s="110"/>
      <c r="F1" s="110"/>
      <c r="G1" s="110"/>
      <c r="H1" s="110"/>
      <c r="I1" s="110"/>
      <c r="J1" s="111"/>
    </row>
    <row r="2" ht="19.5" customHeight="1">
      <c r="A2" s="150" t="s">
        <v>285</v>
      </c>
    </row>
    <row r="3" ht="7.5" customHeight="1">
      <c r="A3" s="3"/>
      <c r="B3" s="3"/>
      <c r="C3" s="3"/>
      <c r="D3" s="3"/>
      <c r="E3" s="3"/>
      <c r="F3" s="3"/>
      <c r="G3" s="3"/>
      <c r="H3" s="3"/>
      <c r="I3" s="3"/>
      <c r="J3" s="3"/>
    </row>
    <row r="4" ht="42.0" customHeight="1">
      <c r="A4" s="114" t="s">
        <v>280</v>
      </c>
      <c r="B4" s="114" t="s">
        <v>129</v>
      </c>
      <c r="C4" s="114" t="s">
        <v>95</v>
      </c>
      <c r="D4" s="114" t="s">
        <v>286</v>
      </c>
      <c r="E4" s="114" t="s">
        <v>287</v>
      </c>
      <c r="F4" s="114" t="s">
        <v>288</v>
      </c>
      <c r="G4" s="114" t="s">
        <v>289</v>
      </c>
      <c r="H4" s="114" t="s">
        <v>290</v>
      </c>
      <c r="I4" s="114" t="s">
        <v>291</v>
      </c>
      <c r="J4" s="114" t="s">
        <v>292</v>
      </c>
    </row>
    <row r="5" ht="24.0" customHeight="1">
      <c r="A5" s="64">
        <f>IFERROR(IF(ISNUMBER(LARGE('Data &amp; Matriks'!$AD$11:$AD$36,1)),1,""),"")</f>
        <v>1</v>
      </c>
      <c r="B5" s="83" t="str">
        <f t="array" ref="B5">IFERROR(INDEX('Data &amp; Matriks'!$B$11:$B$36,MATCH(LARGE('Data &amp; Matriks'!$AD$11:$AD$36,1),'Data &amp; Matriks'!$AD$11:$AD$36,0)),"")</f>
        <v>Pegawai Perubatan</v>
      </c>
      <c r="C5" s="64" t="str">
        <f t="array" ref="C5">IFERROR(INDEX('Data &amp; Matriks'!$C$11:$C$36,MATCH(LARGE('Data &amp; Matriks'!$AD$11:$AD$36,1),'Data &amp; Matriks'!$AD$11:$AD$36,0)),"")</f>
        <v>UD15</v>
      </c>
      <c r="D5" s="64">
        <f t="array" ref="D5">IFERROR(IF(INDEX('Data &amp; Matriks'!$D$11:$D$37,MATCH(LARGE('Data &amp; Matriks'!$AD$11:$AD$37,1),'Data &amp; Matriks'!$AD$11:$AD$37,0))="","",INDEX('Data &amp; Matriks'!$D$11:$D$37,MATCH(LARGE('Data &amp; Matriks'!$AD$11:$AD$37,1),'Data &amp; Matriks'!$AD$11:$AD$37,0))),"")</f>
        <v>2</v>
      </c>
      <c r="E5" s="64">
        <f t="array" ref="E5">IFERROR(IF($B5="","",IFERROR(INDEX('Data &amp; Matriks'!$E$11:$E$36,MATCH(LARGE('Data &amp; Matriks'!$AD$11:$AD$36,1),'Data &amp; Matriks'!$AD$11:$AD$36,0))*1,0)),"")</f>
        <v>2</v>
      </c>
      <c r="F5" s="64">
        <f t="array" ref="F5">IFERROR(IF($B5="","",IFERROR(INDEX('Data &amp; Matriks'!$O$11:$O$36,MATCH(LARGE('Data &amp; Matriks'!$AD$11:$AD$36,1),'Data &amp; Matriks'!$AD$11:$AD$36,0))*1,0)),"")</f>
        <v>0</v>
      </c>
      <c r="G5" s="64">
        <f t="shared" ref="G5:G30" si="1">IFERROR(IF(AND(ISNUMBER(E5),ISNUMBER(F5)),E5-F5,""),"")</f>
        <v>2</v>
      </c>
      <c r="H5" s="161">
        <f t="shared" ref="H5:H30" si="2">IFERROR(IF(AND(ISNUMBER(E5),ISNUMBER(F5),E5&gt;0),F5/E5,""),"")</f>
        <v>0</v>
      </c>
      <c r="I5" s="64" t="str">
        <f t="array" ref="I5">IFERROR(IF($B5="","",INDEX('Pelan Pengambilan'!$G$6:$G$135,MATCH(1,('Pelan Pengambilan'!$B$6:$B$135=$B5)*('Pelan Pengambilan'!$C$6:$C$135=$C5)*('Pelan Pengambilan'!$G$6:$G$135&lt;&gt;""),0))),"")</f>
        <v/>
      </c>
      <c r="J5" s="161">
        <f>IFERROR(IF($B5="","",AVERAGEIFS('Pelan Pengambilan'!$F$6:$F$135,'Pelan Pengambilan'!$B$6:$B$135,$B5,'Pelan Pengambilan'!$C$6:$C$135,$C5)),"")</f>
        <v>0</v>
      </c>
    </row>
    <row r="6" ht="24.0" customHeight="1">
      <c r="A6" s="64">
        <f>IFERROR(IF(ISNUMBER(LARGE('Data &amp; Matriks'!$AD$11:$AD$36,2)),2,""),"")</f>
        <v>2</v>
      </c>
      <c r="B6" s="83" t="str">
        <f t="array" ref="B6">IFERROR(INDEX('Data &amp; Matriks'!$B$11:$B$36,MATCH(LARGE('Data &amp; Matriks'!$AD$11:$AD$36,2),'Data &amp; Matriks'!$AD$11:$AD$36,0)),"")</f>
        <v>Pegawai Perubatan</v>
      </c>
      <c r="C6" s="64" t="str">
        <f t="array" ref="C6">IFERROR(INDEX('Data &amp; Matriks'!$C$11:$C$36,MATCH(LARGE('Data &amp; Matriks'!$AD$11:$AD$36,2),'Data &amp; Matriks'!$AD$11:$AD$36,0)),"")</f>
        <v>UD10</v>
      </c>
      <c r="D6" s="64">
        <f t="array" ref="D6">IFERROR(IF(INDEX('Data &amp; Matriks'!$D$11:$D$37,MATCH(LARGE('Data &amp; Matriks'!$AD$11:$AD$37,2),'Data &amp; Matriks'!$AD$11:$AD$37,0))="","",INDEX('Data &amp; Matriks'!$D$11:$D$37,MATCH(LARGE('Data &amp; Matriks'!$AD$11:$AD$37,2),'Data &amp; Matriks'!$AD$11:$AD$37,0))),"")</f>
        <v>4997</v>
      </c>
      <c r="E6" s="64">
        <f t="array" ref="E6">IFERROR(IF($B6="","",IFERROR(INDEX('Data &amp; Matriks'!$E$11:$E$36,MATCH(LARGE('Data &amp; Matriks'!$AD$11:$AD$36,2),'Data &amp; Matriks'!$AD$11:$AD$36,0))*1,0)),"")</f>
        <v>4997</v>
      </c>
      <c r="F6" s="64">
        <f t="array" ref="F6">IFERROR(IF($B6="","",IFERROR(INDEX('Data &amp; Matriks'!$O$11:$O$36,MATCH(LARGE('Data &amp; Matriks'!$AD$11:$AD$36,2),'Data &amp; Matriks'!$AD$11:$AD$36,0))*1,0)),"")</f>
        <v>3236</v>
      </c>
      <c r="G6" s="64">
        <f t="shared" si="1"/>
        <v>1761</v>
      </c>
      <c r="H6" s="161">
        <f t="shared" si="2"/>
        <v>0.6475885531</v>
      </c>
      <c r="I6" s="64" t="str">
        <f t="array" ref="I6">IFERROR(IF($B6="","",INDEX('Pelan Pengambilan'!$G$6:$G$135,MATCH(1,('Pelan Pengambilan'!$B$6:$B$135=$B6)*('Pelan Pengambilan'!$C$6:$C$135=$C6)*('Pelan Pengambilan'!$G$6:$G$135&lt;&gt;""),0))),"")</f>
        <v/>
      </c>
      <c r="J6" s="161">
        <f>IFERROR(IF($B6="","",AVERAGEIFS('Pelan Pengambilan'!$F$6:$F$135,'Pelan Pengambilan'!$B$6:$B$135,$B6,'Pelan Pengambilan'!$C$6:$C$135,$C6)),"")</f>
        <v>0</v>
      </c>
    </row>
    <row r="7" ht="24.0" customHeight="1">
      <c r="A7" s="64">
        <f>IFERROR(IF(ISNUMBER(LARGE('Data &amp; Matriks'!$AD$11:$AD$36,3)),3,""),"")</f>
        <v>3</v>
      </c>
      <c r="B7" s="83" t="str">
        <f t="array" ref="B7">IFERROR(INDEX('Data &amp; Matriks'!$B$11:$B$36,MATCH(LARGE('Data &amp; Matriks'!$AD$11:$AD$36,3),'Data &amp; Matriks'!$AD$11:$AD$36,0)),"")</f>
        <v>Pegawai Pergigian</v>
      </c>
      <c r="C7" s="64" t="str">
        <f t="array" ref="C7">IFERROR(INDEX('Data &amp; Matriks'!$C$11:$C$36,MATCH(LARGE('Data &amp; Matriks'!$AD$11:$AD$36,3),'Data &amp; Matriks'!$AD$11:$AD$36,0)),"")</f>
        <v>UG10</v>
      </c>
      <c r="D7" s="64">
        <f t="array" ref="D7">IFERROR(IF(INDEX('Data &amp; Matriks'!$D$11:$D$37,MATCH(LARGE('Data &amp; Matriks'!$AD$11:$AD$37,3),'Data &amp; Matriks'!$AD$11:$AD$37,0))="","",INDEX('Data &amp; Matriks'!$D$11:$D$37,MATCH(LARGE('Data &amp; Matriks'!$AD$11:$AD$37,3),'Data &amp; Matriks'!$AD$11:$AD$37,0))),"")</f>
        <v>500</v>
      </c>
      <c r="E7" s="64">
        <f t="array" ref="E7">IFERROR(IF($B7="","",IFERROR(INDEX('Data &amp; Matriks'!$E$11:$E$36,MATCH(LARGE('Data &amp; Matriks'!$AD$11:$AD$36,3),'Data &amp; Matriks'!$AD$11:$AD$36,0))*1,0)),"")</f>
        <v>500</v>
      </c>
      <c r="F7" s="64">
        <f t="array" ref="F7">IFERROR(IF($B7="","",IFERROR(INDEX('Data &amp; Matriks'!$O$11:$O$36,MATCH(LARGE('Data &amp; Matriks'!$AD$11:$AD$36,3),'Data &amp; Matriks'!$AD$11:$AD$36,0))*1,0)),"")</f>
        <v>0</v>
      </c>
      <c r="G7" s="64">
        <f t="shared" si="1"/>
        <v>500</v>
      </c>
      <c r="H7" s="161">
        <f t="shared" si="2"/>
        <v>0</v>
      </c>
      <c r="I7" s="64" t="str">
        <f t="array" ref="I7">IFERROR(IF($B7="","",INDEX('Pelan Pengambilan'!$G$6:$G$135,MATCH(1,('Pelan Pengambilan'!$B$6:$B$135=$B7)*('Pelan Pengambilan'!$C$6:$C$135=$C7)*('Pelan Pengambilan'!$G$6:$G$135&lt;&gt;""),0))),"")</f>
        <v/>
      </c>
      <c r="J7" s="161">
        <f>IFERROR(IF($B7="","",AVERAGEIFS('Pelan Pengambilan'!$F$6:$F$135,'Pelan Pengambilan'!$B$6:$B$135,$B7,'Pelan Pengambilan'!$C$6:$C$135,$C7)),"")</f>
        <v>0</v>
      </c>
    </row>
    <row r="8" ht="24.0" customHeight="1">
      <c r="A8" s="64">
        <f>IFERROR(IF(ISNUMBER(LARGE('Data &amp; Matriks'!$AD$11:$AD$36,4)),4,""),"")</f>
        <v>4</v>
      </c>
      <c r="B8" s="83" t="str">
        <f t="array" ref="B8">IFERROR(INDEX('Data &amp; Matriks'!$B$11:$B$36,MATCH(LARGE('Data &amp; Matriks'!$AD$11:$AD$36,4),'Data &amp; Matriks'!$AD$11:$AD$36,0)),"")</f>
        <v>Pegawai Kesihatan Persekitaran </v>
      </c>
      <c r="C8" s="64" t="str">
        <f t="array" ref="C8">IFERROR(INDEX('Data &amp; Matriks'!$C$11:$C$36,MATCH(LARGE('Data &amp; Matriks'!$AD$11:$AD$36,4),'Data &amp; Matriks'!$AD$11:$AD$36,0)),"")</f>
        <v>U9</v>
      </c>
      <c r="D8" s="64">
        <f t="array" ref="D8">IFERROR(IF(INDEX('Data &amp; Matriks'!$D$11:$D$37,MATCH(LARGE('Data &amp; Matriks'!$AD$11:$AD$37,4),'Data &amp; Matriks'!$AD$11:$AD$37,0))="","",INDEX('Data &amp; Matriks'!$D$11:$D$37,MATCH(LARGE('Data &amp; Matriks'!$AD$11:$AD$37,4),'Data &amp; Matriks'!$AD$11:$AD$37,0))),"")</f>
        <v>3</v>
      </c>
      <c r="E8" s="64">
        <f t="array" ref="E8">IFERROR(IF($B8="","",IFERROR(INDEX('Data &amp; Matriks'!$E$11:$E$36,MATCH(LARGE('Data &amp; Matriks'!$AD$11:$AD$36,4),'Data &amp; Matriks'!$AD$11:$AD$36,0))*1,0)),"")</f>
        <v>2</v>
      </c>
      <c r="F8" s="64">
        <f t="array" ref="F8">IFERROR(IF($B8="","",IFERROR(INDEX('Data &amp; Matriks'!$O$11:$O$36,MATCH(LARGE('Data &amp; Matriks'!$AD$11:$AD$36,4),'Data &amp; Matriks'!$AD$11:$AD$36,0))*1,0)),"")</f>
        <v>0</v>
      </c>
      <c r="G8" s="64">
        <f t="shared" si="1"/>
        <v>2</v>
      </c>
      <c r="H8" s="161">
        <f t="shared" si="2"/>
        <v>0</v>
      </c>
      <c r="I8" s="64" t="str">
        <f t="array" ref="I8">IFERROR(IF($B8="","",INDEX('Pelan Pengambilan'!$G$6:$G$135,MATCH(1,('Pelan Pengambilan'!$B$6:$B$135=$B8)*('Pelan Pengambilan'!$C$6:$C$135=$C8)*('Pelan Pengambilan'!$G$6:$G$135&lt;&gt;""),0))),"")</f>
        <v/>
      </c>
      <c r="J8" s="161">
        <f>IFERROR(IF($B8="","",AVERAGEIFS('Pelan Pengambilan'!$F$6:$F$135,'Pelan Pengambilan'!$B$6:$B$135,$B8,'Pelan Pengambilan'!$C$6:$C$135,$C8)),"")</f>
        <v>0</v>
      </c>
    </row>
    <row r="9" ht="24.0" customHeight="1">
      <c r="A9" s="64">
        <f>IFERROR(IF(ISNUMBER(LARGE('Data &amp; Matriks'!$AD$11:$AD$36,5)),5,""),"")</f>
        <v>5</v>
      </c>
      <c r="B9" s="83" t="str">
        <f t="array" ref="B9">IFERROR(INDEX('Data &amp; Matriks'!$B$11:$B$36,MATCH(LARGE('Data &amp; Matriks'!$AD$11:$AD$36,5),'Data &amp; Matriks'!$AD$11:$AD$36,0)),"")</f>
        <v>Pegawai Perubatan</v>
      </c>
      <c r="C9" s="64" t="str">
        <f t="array" ref="C9">IFERROR(INDEX('Data &amp; Matriks'!$C$11:$C$36,MATCH(LARGE('Data &amp; Matriks'!$AD$11:$AD$36,5),'Data &amp; Matriks'!$AD$11:$AD$36,0)),"")</f>
        <v>UD13</v>
      </c>
      <c r="D9" s="64">
        <f t="array" ref="D9">IFERROR(IF(INDEX('Data &amp; Matriks'!$D$11:$D$37,MATCH(LARGE('Data &amp; Matriks'!$AD$11:$AD$37,5),'Data &amp; Matriks'!$AD$11:$AD$37,0))="","",INDEX('Data &amp; Matriks'!$D$11:$D$37,MATCH(LARGE('Data &amp; Matriks'!$AD$11:$AD$37,5),'Data &amp; Matriks'!$AD$11:$AD$37,0))),"")</f>
        <v>1</v>
      </c>
      <c r="E9" s="64">
        <f t="array" ref="E9">IFERROR(IF($B9="","",IFERROR(INDEX('Data &amp; Matriks'!$E$11:$E$36,MATCH(LARGE('Data &amp; Matriks'!$AD$11:$AD$36,5),'Data &amp; Matriks'!$AD$11:$AD$36,0))*1,0)),"")</f>
        <v>1</v>
      </c>
      <c r="F9" s="64">
        <f t="array" ref="F9">IFERROR(IF($B9="","",IFERROR(INDEX('Data &amp; Matriks'!$O$11:$O$36,MATCH(LARGE('Data &amp; Matriks'!$AD$11:$AD$36,5),'Data &amp; Matriks'!$AD$11:$AD$36,0))*1,0)),"")</f>
        <v>0</v>
      </c>
      <c r="G9" s="64">
        <f t="shared" si="1"/>
        <v>1</v>
      </c>
      <c r="H9" s="161">
        <f t="shared" si="2"/>
        <v>0</v>
      </c>
      <c r="I9" s="64" t="str">
        <f t="array" ref="I9">IFERROR(IF($B9="","",INDEX('Pelan Pengambilan'!$G$6:$G$135,MATCH(1,('Pelan Pengambilan'!$B$6:$B$135=$B9)*('Pelan Pengambilan'!$C$6:$C$135=$C9)*('Pelan Pengambilan'!$G$6:$G$135&lt;&gt;""),0))),"")</f>
        <v/>
      </c>
      <c r="J9" s="161">
        <f>IFERROR(IF($B9="","",AVERAGEIFS('Pelan Pengambilan'!$F$6:$F$135,'Pelan Pengambilan'!$B$6:$B$135,$B9,'Pelan Pengambilan'!$C$6:$C$135,$C9)),"")</f>
        <v>0</v>
      </c>
    </row>
    <row r="10" ht="24.0" customHeight="1">
      <c r="A10" s="64">
        <f>IFERROR(IF(ISNUMBER(LARGE('Data &amp; Matriks'!$AD$11:$AD$36,6)),6,""),"")</f>
        <v>6</v>
      </c>
      <c r="B10" s="83" t="str">
        <f t="array" ref="B10">IFERROR(INDEX('Data &amp; Matriks'!$B$11:$B$36,MATCH(LARGE('Data &amp; Matriks'!$AD$11:$AD$36,6),'Data &amp; Matriks'!$AD$11:$AD$36,0)),"")</f>
        <v>Pegawai Pemulihan Perubatan (Pertuturan)</v>
      </c>
      <c r="C10" s="64" t="str">
        <f t="array" ref="C10">IFERROR(INDEX('Data &amp; Matriks'!$C$11:$C$36,MATCH(LARGE('Data &amp; Matriks'!$AD$11:$AD$36,6),'Data &amp; Matriks'!$AD$11:$AD$36,0)),"")</f>
        <v>U9</v>
      </c>
      <c r="D10" s="64">
        <f t="array" ref="D10">IFERROR(IF(INDEX('Data &amp; Matriks'!$D$11:$D$37,MATCH(LARGE('Data &amp; Matriks'!$AD$11:$AD$37,6),'Data &amp; Matriks'!$AD$11:$AD$37,0))="","",INDEX('Data &amp; Matriks'!$D$11:$D$37,MATCH(LARGE('Data &amp; Matriks'!$AD$11:$AD$37,6),'Data &amp; Matriks'!$AD$11:$AD$37,0))),"")</f>
        <v>99</v>
      </c>
      <c r="E10" s="64">
        <f t="array" ref="E10">IFERROR(IF($B10="","",IFERROR(INDEX('Data &amp; Matriks'!$E$11:$E$36,MATCH(LARGE('Data &amp; Matriks'!$AD$11:$AD$36,6),'Data &amp; Matriks'!$AD$11:$AD$36,0))*1,0)),"")</f>
        <v>99</v>
      </c>
      <c r="F10" s="64">
        <f t="array" ref="F10">IFERROR(IF($B10="","",IFERROR(INDEX('Data &amp; Matriks'!$O$11:$O$36,MATCH(LARGE('Data &amp; Matriks'!$AD$11:$AD$36,6),'Data &amp; Matriks'!$AD$11:$AD$36,0))*1,0)),"")</f>
        <v>65</v>
      </c>
      <c r="G10" s="64">
        <f t="shared" si="1"/>
        <v>34</v>
      </c>
      <c r="H10" s="161">
        <f t="shared" si="2"/>
        <v>0.6565656566</v>
      </c>
      <c r="I10" s="64" t="str">
        <f t="array" ref="I10">IFERROR(IF($B10="","",INDEX('Pelan Pengambilan'!$G$6:$G$135,MATCH(1,('Pelan Pengambilan'!$B$6:$B$135=$B10)*('Pelan Pengambilan'!$C$6:$C$135=$C10)*('Pelan Pengambilan'!$G$6:$G$135&lt;&gt;""),0))),"")</f>
        <v/>
      </c>
      <c r="J10" s="161">
        <f>IFERROR(IF($B10="","",AVERAGEIFS('Pelan Pengambilan'!$F$6:$F$135,'Pelan Pengambilan'!$B$6:$B$135,$B10,'Pelan Pengambilan'!$C$6:$C$135,$C10)),"")</f>
        <v>0</v>
      </c>
    </row>
    <row r="11" ht="24.0" customHeight="1">
      <c r="A11" s="64">
        <f>IFERROR(IF(ISNUMBER(LARGE('Data &amp; Matriks'!$AD$11:$AD$36,7)),7,""),"")</f>
        <v>7</v>
      </c>
      <c r="B11" s="83" t="str">
        <f t="array" ref="B11">IFERROR(INDEX('Data &amp; Matriks'!$B$11:$B$36,MATCH(LARGE('Data &amp; Matriks'!$AD$11:$AD$36,7),'Data &amp; Matriks'!$AD$11:$AD$36,0)),"")</f>
        <v>Pegawai Pemulihan Perubatan (Fisioterapi)</v>
      </c>
      <c r="C11" s="64" t="str">
        <f t="array" ref="C11">IFERROR(INDEX('Data &amp; Matriks'!$C$11:$C$36,MATCH(LARGE('Data &amp; Matriks'!$AD$11:$AD$36,7),'Data &amp; Matriks'!$AD$11:$AD$36,0)),"")</f>
        <v>U9</v>
      </c>
      <c r="D11" s="64">
        <f t="array" ref="D11">IFERROR(IF(INDEX('Data &amp; Matriks'!$D$11:$D$37,MATCH(LARGE('Data &amp; Matriks'!$AD$11:$AD$37,7),'Data &amp; Matriks'!$AD$11:$AD$37,0))="","",INDEX('Data &amp; Matriks'!$D$11:$D$37,MATCH(LARGE('Data &amp; Matriks'!$AD$11:$AD$37,7),'Data &amp; Matriks'!$AD$11:$AD$37,0))),"")</f>
        <v>76</v>
      </c>
      <c r="E11" s="64">
        <f t="array" ref="E11">IFERROR(IF($B11="","",IFERROR(INDEX('Data &amp; Matriks'!$E$11:$E$36,MATCH(LARGE('Data &amp; Matriks'!$AD$11:$AD$36,7),'Data &amp; Matriks'!$AD$11:$AD$36,0))*1,0)),"")</f>
        <v>76</v>
      </c>
      <c r="F11" s="64">
        <f t="array" ref="F11">IFERROR(IF($B11="","",IFERROR(INDEX('Data &amp; Matriks'!$O$11:$O$36,MATCH(LARGE('Data &amp; Matriks'!$AD$11:$AD$36,7),'Data &amp; Matriks'!$AD$11:$AD$36,0))*1,0)),"")</f>
        <v>53</v>
      </c>
      <c r="G11" s="64">
        <f t="shared" si="1"/>
        <v>23</v>
      </c>
      <c r="H11" s="161">
        <f t="shared" si="2"/>
        <v>0.6973684211</v>
      </c>
      <c r="I11" s="64" t="str">
        <f t="array" ref="I11">IFERROR(IF($B11="","",INDEX('Pelan Pengambilan'!$G$6:$G$135,MATCH(1,('Pelan Pengambilan'!$B$6:$B$135=$B11)*('Pelan Pengambilan'!$C$6:$C$135=$C11)*('Pelan Pengambilan'!$G$6:$G$135&lt;&gt;""),0))),"")</f>
        <v/>
      </c>
      <c r="J11" s="161">
        <f>IFERROR(IF($B11="","",AVERAGEIFS('Pelan Pengambilan'!$F$6:$F$135,'Pelan Pengambilan'!$B$6:$B$135,$B11,'Pelan Pengambilan'!$C$6:$C$135,$C11)),"")</f>
        <v>0</v>
      </c>
    </row>
    <row r="12" ht="24.0" customHeight="1">
      <c r="A12" s="64">
        <f>IFERROR(IF(ISNUMBER(LARGE('Data &amp; Matriks'!$AD$11:$AD$36,8)),8,""),"")</f>
        <v>8</v>
      </c>
      <c r="B12" s="83" t="str">
        <f t="array" ref="B12">IFERROR(INDEX('Data &amp; Matriks'!$B$11:$B$36,MATCH(LARGE('Data &amp; Matriks'!$AD$11:$AD$36,8),'Data &amp; Matriks'!$AD$11:$AD$36,0)),"")</f>
        <v>Pegawai Pemulihan Perubatan (Cara Kerja)</v>
      </c>
      <c r="C12" s="64" t="str">
        <f t="array" ref="C12">IFERROR(INDEX('Data &amp; Matriks'!$C$11:$C$36,MATCH(LARGE('Data &amp; Matriks'!$AD$11:$AD$36,8),'Data &amp; Matriks'!$AD$11:$AD$36,0)),"")</f>
        <v>U9</v>
      </c>
      <c r="D12" s="64">
        <f t="array" ref="D12">IFERROR(IF(INDEX('Data &amp; Matriks'!$D$11:$D$37,MATCH(LARGE('Data &amp; Matriks'!$AD$11:$AD$37,8),'Data &amp; Matriks'!$AD$11:$AD$37,0))="","",INDEX('Data &amp; Matriks'!$D$11:$D$37,MATCH(LARGE('Data &amp; Matriks'!$AD$11:$AD$37,8),'Data &amp; Matriks'!$AD$11:$AD$37,0))),"")</f>
        <v>56</v>
      </c>
      <c r="E12" s="64">
        <f t="array" ref="E12">IFERROR(IF($B12="","",IFERROR(INDEX('Data &amp; Matriks'!$E$11:$E$36,MATCH(LARGE('Data &amp; Matriks'!$AD$11:$AD$36,8),'Data &amp; Matriks'!$AD$11:$AD$36,0))*1,0)),"")</f>
        <v>56</v>
      </c>
      <c r="F12" s="64">
        <f t="array" ref="F12">IFERROR(IF($B12="","",IFERROR(INDEX('Data &amp; Matriks'!$O$11:$O$36,MATCH(LARGE('Data &amp; Matriks'!$AD$11:$AD$36,8),'Data &amp; Matriks'!$AD$11:$AD$36,0))*1,0)),"")</f>
        <v>41</v>
      </c>
      <c r="G12" s="64">
        <f t="shared" si="1"/>
        <v>15</v>
      </c>
      <c r="H12" s="161">
        <f t="shared" si="2"/>
        <v>0.7321428571</v>
      </c>
      <c r="I12" s="64" t="str">
        <f t="array" ref="I12">IFERROR(IF($B12="","",INDEX('Pelan Pengambilan'!$G$6:$G$135,MATCH(1,('Pelan Pengambilan'!$B$6:$B$135=$B12)*('Pelan Pengambilan'!$C$6:$C$135=$C12)*('Pelan Pengambilan'!$G$6:$G$135&lt;&gt;""),0))),"")</f>
        <v/>
      </c>
      <c r="J12" s="161">
        <f>IFERROR(IF($B12="","",AVERAGEIFS('Pelan Pengambilan'!$F$6:$F$135,'Pelan Pengambilan'!$B$6:$B$135,$B12,'Pelan Pengambilan'!$C$6:$C$135,$C12)),"")</f>
        <v>0</v>
      </c>
    </row>
    <row r="13" ht="24.0" customHeight="1">
      <c r="A13" s="64">
        <f>IFERROR(IF(ISNUMBER(LARGE('Data &amp; Matriks'!$AD$11:$AD$36,9)),9,""),"")</f>
        <v>9</v>
      </c>
      <c r="B13" s="83" t="str">
        <f t="array" ref="B13">IFERROR(INDEX('Data &amp; Matriks'!$B$11:$B$36,MATCH(LARGE('Data &amp; Matriks'!$AD$11:$AD$36,9),'Data &amp; Matriks'!$AD$11:$AD$36,0)),"")</f>
        <v>Pengajar (Jururawat)</v>
      </c>
      <c r="C13" s="64" t="str">
        <f t="array" ref="C13">IFERROR(INDEX('Data &amp; Matriks'!$C$11:$C$36,MATCH(LARGE('Data &amp; Matriks'!$AD$11:$AD$36,9),'Data &amp; Matriks'!$AD$11:$AD$36,0)),"")</f>
        <v>U9</v>
      </c>
      <c r="D13" s="64">
        <f t="array" ref="D13">IFERROR(IF(INDEX('Data &amp; Matriks'!$D$11:$D$37,MATCH(LARGE('Data &amp; Matriks'!$AD$11:$AD$37,9),'Data &amp; Matriks'!$AD$11:$AD$37,0))="","",INDEX('Data &amp; Matriks'!$D$11:$D$37,MATCH(LARGE('Data &amp; Matriks'!$AD$11:$AD$37,9),'Data &amp; Matriks'!$AD$11:$AD$37,0))),"")</f>
        <v>171</v>
      </c>
      <c r="E13" s="64">
        <f t="array" ref="E13">IFERROR(IF($B13="","",IFERROR(INDEX('Data &amp; Matriks'!$E$11:$E$36,MATCH(LARGE('Data &amp; Matriks'!$AD$11:$AD$36,9),'Data &amp; Matriks'!$AD$11:$AD$36,0))*1,0)),"")</f>
        <v>13</v>
      </c>
      <c r="F13" s="64">
        <f t="array" ref="F13">IFERROR(IF($B13="","",IFERROR(INDEX('Data &amp; Matriks'!$O$11:$O$36,MATCH(LARGE('Data &amp; Matriks'!$AD$11:$AD$36,9),'Data &amp; Matriks'!$AD$11:$AD$36,0))*1,0)),"")</f>
        <v>0</v>
      </c>
      <c r="G13" s="64">
        <f t="shared" si="1"/>
        <v>13</v>
      </c>
      <c r="H13" s="161">
        <f t="shared" si="2"/>
        <v>0</v>
      </c>
      <c r="I13" s="64" t="str">
        <f t="array" ref="I13">IFERROR(IF($B13="","",INDEX('Pelan Pengambilan'!$G$6:$G$135,MATCH(1,('Pelan Pengambilan'!$B$6:$B$135=$B13)*('Pelan Pengambilan'!$C$6:$C$135=$C13)*('Pelan Pengambilan'!$G$6:$G$135&lt;&gt;""),0))),"")</f>
        <v/>
      </c>
      <c r="J13" s="161">
        <f>IFERROR(IF($B13="","",AVERAGEIFS('Pelan Pengambilan'!$F$6:$F$135,'Pelan Pengambilan'!$B$6:$B$135,$B13,'Pelan Pengambilan'!$C$6:$C$135,$C13)),"")</f>
        <v>0</v>
      </c>
    </row>
    <row r="14" ht="24.0" customHeight="1">
      <c r="A14" s="64">
        <f>IFERROR(IF(ISNUMBER(LARGE('Data &amp; Matriks'!$AD$11:$AD$36,10)),10,""),"")</f>
        <v>10</v>
      </c>
      <c r="B14" s="83" t="str">
        <f t="array" ref="B14">IFERROR(INDEX('Data &amp; Matriks'!$B$11:$B$36,MATCH(LARGE('Data &amp; Matriks'!$AD$11:$AD$36,10),'Data &amp; Matriks'!$AD$11:$AD$36,0)),"")</f>
        <v>Pengajar (Penolong Pegawai Perubatan)</v>
      </c>
      <c r="C14" s="64" t="str">
        <f t="array" ref="C14">IFERROR(INDEX('Data &amp; Matriks'!$C$11:$C$36,MATCH(LARGE('Data &amp; Matriks'!$AD$11:$AD$36,10),'Data &amp; Matriks'!$AD$11:$AD$36,0)),"")</f>
        <v>U9</v>
      </c>
      <c r="D14" s="64">
        <f t="array" ref="D14">IFERROR(IF(INDEX('Data &amp; Matriks'!$D$11:$D$37,MATCH(LARGE('Data &amp; Matriks'!$AD$11:$AD$37,10),'Data &amp; Matriks'!$AD$11:$AD$37,0))="","",INDEX('Data &amp; Matriks'!$D$11:$D$37,MATCH(LARGE('Data &amp; Matriks'!$AD$11:$AD$37,10),'Data &amp; Matriks'!$AD$11:$AD$37,0))),"")</f>
        <v>39</v>
      </c>
      <c r="E14" s="64">
        <f t="array" ref="E14">IFERROR(IF($B14="","",IFERROR(INDEX('Data &amp; Matriks'!$E$11:$E$36,MATCH(LARGE('Data &amp; Matriks'!$AD$11:$AD$36,10),'Data &amp; Matriks'!$AD$11:$AD$36,0))*1,0)),"")</f>
        <v>10</v>
      </c>
      <c r="F14" s="64">
        <f t="array" ref="F14">IFERROR(IF($B14="","",IFERROR(INDEX('Data &amp; Matriks'!$O$11:$O$36,MATCH(LARGE('Data &amp; Matriks'!$AD$11:$AD$36,10),'Data &amp; Matriks'!$AD$11:$AD$36,0))*1,0)),"")</f>
        <v>0</v>
      </c>
      <c r="G14" s="64">
        <f t="shared" si="1"/>
        <v>10</v>
      </c>
      <c r="H14" s="161">
        <f t="shared" si="2"/>
        <v>0</v>
      </c>
      <c r="I14" s="64" t="str">
        <f t="array" ref="I14">IFERROR(IF($B14="","",INDEX('Pelan Pengambilan'!$G$6:$G$135,MATCH(1,('Pelan Pengambilan'!$B$6:$B$135=$B14)*('Pelan Pengambilan'!$C$6:$C$135=$C14)*('Pelan Pengambilan'!$G$6:$G$135&lt;&gt;""),0))),"")</f>
        <v/>
      </c>
      <c r="J14" s="161">
        <f>IFERROR(IF($B14="","",AVERAGEIFS('Pelan Pengambilan'!$F$6:$F$135,'Pelan Pengambilan'!$B$6:$B$135,$B14,'Pelan Pengambilan'!$C$6:$C$135,$C14)),"")</f>
        <v>0</v>
      </c>
    </row>
    <row r="15" ht="24.0" customHeight="1">
      <c r="A15" s="64">
        <f>IFERROR(IF(ISNUMBER(LARGE('Data &amp; Matriks'!$AD$11:$AD$36,11)),11,""),"")</f>
        <v>11</v>
      </c>
      <c r="B15" s="83" t="str">
        <f t="array" ref="B15">IFERROR(INDEX('Data &amp; Matriks'!$B$11:$B$36,MATCH(LARGE('Data &amp; Matriks'!$AD$11:$AD$36,11),'Data &amp; Matriks'!$AD$11:$AD$36,0)),"")</f>
        <v>Jururawat </v>
      </c>
      <c r="C15" s="64" t="str">
        <f t="array" ref="C15">IFERROR(INDEX('Data &amp; Matriks'!$C$11:$C$36,MATCH(LARGE('Data &amp; Matriks'!$AD$11:$AD$36,11),'Data &amp; Matriks'!$AD$11:$AD$36,0)),"")</f>
        <v>U9</v>
      </c>
      <c r="D15" s="64">
        <f t="array" ref="D15">IFERROR(IF(INDEX('Data &amp; Matriks'!$D$11:$D$37,MATCH(LARGE('Data &amp; Matriks'!$AD$11:$AD$37,11),'Data &amp; Matriks'!$AD$11:$AD$37,0))="","",INDEX('Data &amp; Matriks'!$D$11:$D$37,MATCH(LARGE('Data &amp; Matriks'!$AD$11:$AD$37,11),'Data &amp; Matriks'!$AD$11:$AD$37,0))),"")</f>
        <v>59</v>
      </c>
      <c r="E15" s="64">
        <f t="array" ref="E15">IFERROR(IF($B15="","",IFERROR(INDEX('Data &amp; Matriks'!$E$11:$E$36,MATCH(LARGE('Data &amp; Matriks'!$AD$11:$AD$36,11),'Data &amp; Matriks'!$AD$11:$AD$36,0))*1,0)),"")</f>
        <v>59</v>
      </c>
      <c r="F15" s="64">
        <f t="array" ref="F15">IFERROR(IF($B15="","",IFERROR(INDEX('Data &amp; Matriks'!$O$11:$O$36,MATCH(LARGE('Data &amp; Matriks'!$AD$11:$AD$36,11),'Data &amp; Matriks'!$AD$11:$AD$36,0))*1,0)),"")</f>
        <v>59</v>
      </c>
      <c r="G15" s="64">
        <f t="shared" si="1"/>
        <v>0</v>
      </c>
      <c r="H15" s="161">
        <f t="shared" si="2"/>
        <v>1</v>
      </c>
      <c r="I15" s="64" t="str">
        <f t="array" ref="I15">IFERROR(IF($B15="","",INDEX('Pelan Pengambilan'!$G$6:$G$135,MATCH(1,('Pelan Pengambilan'!$B$6:$B$135=$B15)*('Pelan Pengambilan'!$C$6:$C$135=$C15)*('Pelan Pengambilan'!$G$6:$G$135&lt;&gt;""),0))),"")</f>
        <v>P1: Permohonan e-Pengisian</v>
      </c>
      <c r="J15" s="161">
        <f>IFERROR(IF($B15="","",AVERAGEIFS('Pelan Pengambilan'!$F$6:$F$135,'Pelan Pengambilan'!$B$6:$B$135,$B15,'Pelan Pengambilan'!$C$6:$C$135,$C15)),"")</f>
        <v>0.25</v>
      </c>
    </row>
    <row r="16" ht="24.0" customHeight="1">
      <c r="A16" s="64">
        <f>IFERROR(IF(ISNUMBER(LARGE('Data &amp; Matriks'!$AD$11:$AD$36,12)),12,""),"")</f>
        <v>12</v>
      </c>
      <c r="B16" s="83" t="str">
        <f t="array" ref="B16">IFERROR(INDEX('Data &amp; Matriks'!$B$11:$B$36,MATCH(LARGE('Data &amp; Matriks'!$AD$11:$AD$36,12),'Data &amp; Matriks'!$AD$11:$AD$36,0)),"")</f>
        <v>Penolong Pegawai Perubatan</v>
      </c>
      <c r="C16" s="64" t="str">
        <f t="array" ref="C16">IFERROR(INDEX('Data &amp; Matriks'!$C$11:$C$36,MATCH(LARGE('Data &amp; Matriks'!$AD$11:$AD$36,12),'Data &amp; Matriks'!$AD$11:$AD$36,0)),"")</f>
        <v>U9</v>
      </c>
      <c r="D16" s="64">
        <f t="array" ref="D16">IFERROR(IF(INDEX('Data &amp; Matriks'!$D$11:$D$37,MATCH(LARGE('Data &amp; Matriks'!$AD$11:$AD$37,12),'Data &amp; Matriks'!$AD$11:$AD$37,0))="","",INDEX('Data &amp; Matriks'!$D$11:$D$37,MATCH(LARGE('Data &amp; Matriks'!$AD$11:$AD$37,12),'Data &amp; Matriks'!$AD$11:$AD$37,0))),"")</f>
        <v>80</v>
      </c>
      <c r="E16" s="64">
        <f t="array" ref="E16">IFERROR(IF($B16="","",IFERROR(INDEX('Data &amp; Matriks'!$E$11:$E$36,MATCH(LARGE('Data &amp; Matriks'!$AD$11:$AD$36,12),'Data &amp; Matriks'!$AD$11:$AD$36,0))*1,0)),"")</f>
        <v>37</v>
      </c>
      <c r="F16" s="64">
        <f t="array" ref="F16">IFERROR(IF($B16="","",IFERROR(INDEX('Data &amp; Matriks'!$O$11:$O$36,MATCH(LARGE('Data &amp; Matriks'!$AD$11:$AD$36,12),'Data &amp; Matriks'!$AD$11:$AD$36,0))*1,0)),"")</f>
        <v>37</v>
      </c>
      <c r="G16" s="64">
        <f t="shared" si="1"/>
        <v>0</v>
      </c>
      <c r="H16" s="161">
        <f t="shared" si="2"/>
        <v>1</v>
      </c>
      <c r="I16" s="64" t="str">
        <f t="array" ref="I16">IFERROR(IF($B16="","",INDEX('Pelan Pengambilan'!$G$6:$G$135,MATCH(1,('Pelan Pengambilan'!$B$6:$B$135=$B16)*('Pelan Pengambilan'!$C$6:$C$135=$C16)*('Pelan Pengambilan'!$G$6:$G$135&lt;&gt;""),0))),"")</f>
        <v>P1: Permohonan e-Pengisian</v>
      </c>
      <c r="J16" s="161">
        <f>IFERROR(IF($B16="","",AVERAGEIFS('Pelan Pengambilan'!$F$6:$F$135,'Pelan Pengambilan'!$B$6:$B$135,$B16,'Pelan Pengambilan'!$C$6:$C$135,$C16)),"")</f>
        <v>0.05</v>
      </c>
    </row>
    <row r="17" ht="24.0" customHeight="1">
      <c r="A17" s="64">
        <f>IFERROR(IF(ISNUMBER(LARGE('Data &amp; Matriks'!$AD$11:$AD$36,13)),13,""),"")</f>
        <v>13</v>
      </c>
      <c r="B17" s="83" t="str">
        <f t="array" ref="B17">IFERROR(INDEX('Data &amp; Matriks'!$B$11:$B$36,MATCH(LARGE('Data &amp; Matriks'!$AD$11:$AD$36,13),'Data &amp; Matriks'!$AD$11:$AD$36,0)),"")</f>
        <v>Juru X-Ray (Diagnostik)</v>
      </c>
      <c r="C17" s="64" t="str">
        <f t="array" ref="C17">IFERROR(INDEX('Data &amp; Matriks'!$C$11:$C$36,MATCH(LARGE('Data &amp; Matriks'!$AD$11:$AD$36,13),'Data &amp; Matriks'!$AD$11:$AD$36,0)),"")</f>
        <v>U9</v>
      </c>
      <c r="D17" s="64">
        <f t="array" ref="D17">IFERROR(IF(INDEX('Data &amp; Matriks'!$D$11:$D$37,MATCH(LARGE('Data &amp; Matriks'!$AD$11:$AD$37,13),'Data &amp; Matriks'!$AD$11:$AD$37,0))="","",INDEX('Data &amp; Matriks'!$D$11:$D$37,MATCH(LARGE('Data &amp; Matriks'!$AD$11:$AD$37,13),'Data &amp; Matriks'!$AD$11:$AD$37,0))),"")</f>
        <v>7</v>
      </c>
      <c r="E17" s="64">
        <f t="array" ref="E17">IFERROR(IF($B17="","",IFERROR(INDEX('Data &amp; Matriks'!$E$11:$E$36,MATCH(LARGE('Data &amp; Matriks'!$AD$11:$AD$36,13),'Data &amp; Matriks'!$AD$11:$AD$36,0))*1,0)),"")</f>
        <v>7</v>
      </c>
      <c r="F17" s="64">
        <f t="array" ref="F17">IFERROR(IF($B17="","",IFERROR(INDEX('Data &amp; Matriks'!$O$11:$O$36,MATCH(LARGE('Data &amp; Matriks'!$AD$11:$AD$36,13),'Data &amp; Matriks'!$AD$11:$AD$36,0))*1,0)),"")</f>
        <v>7</v>
      </c>
      <c r="G17" s="64">
        <f t="shared" si="1"/>
        <v>0</v>
      </c>
      <c r="H17" s="161">
        <f t="shared" si="2"/>
        <v>1</v>
      </c>
      <c r="I17" s="64" t="str">
        <f t="array" ref="I17">IFERROR(IF($B17="","",INDEX('Pelan Pengambilan'!$G$6:$G$135,MATCH(1,('Pelan Pengambilan'!$B$6:$B$135=$B17)*('Pelan Pengambilan'!$C$6:$C$135=$C17)*('Pelan Pengambilan'!$G$6:$G$135&lt;&gt;""),0))),"")</f>
        <v/>
      </c>
      <c r="J17" s="161">
        <f>IFERROR(IF($B17="","",AVERAGEIFS('Pelan Pengambilan'!$F$6:$F$135,'Pelan Pengambilan'!$B$6:$B$135,$B17,'Pelan Pengambilan'!$C$6:$C$135,$C17)),"")</f>
        <v>0</v>
      </c>
    </row>
    <row r="18" ht="24.0" customHeight="1">
      <c r="A18" s="64">
        <f>IFERROR(IF(ISNUMBER(LARGE('Data &amp; Matriks'!$AD$11:$AD$36,14)),14,""),"")</f>
        <v>14</v>
      </c>
      <c r="B18" s="83" t="str">
        <f t="array" ref="B18">IFERROR(INDEX('Data &amp; Matriks'!$B$11:$B$36,MATCH(LARGE('Data &amp; Matriks'!$AD$11:$AD$36,14),'Data &amp; Matriks'!$AD$11:$AD$36,0)),"")</f>
        <v>Pegawai Farmasi</v>
      </c>
      <c r="C18" s="64" t="str">
        <f t="array" ref="C18">IFERROR(INDEX('Data &amp; Matriks'!$C$11:$C$36,MATCH(LARGE('Data &amp; Matriks'!$AD$11:$AD$36,14),'Data &amp; Matriks'!$AD$11:$AD$36,0)),"")</f>
        <v>UF10</v>
      </c>
      <c r="D18" s="64">
        <f t="array" ref="D18">IFERROR(IF(INDEX('Data &amp; Matriks'!$D$11:$D$37,MATCH(LARGE('Data &amp; Matriks'!$AD$11:$AD$37,14),'Data &amp; Matriks'!$AD$11:$AD$37,0))="","",INDEX('Data &amp; Matriks'!$D$11:$D$37,MATCH(LARGE('Data &amp; Matriks'!$AD$11:$AD$37,14),'Data &amp; Matriks'!$AD$11:$AD$37,0))),"")</f>
        <v>0</v>
      </c>
      <c r="E18" s="64">
        <f t="array" ref="E18">IFERROR(IF($B18="","",IFERROR(INDEX('Data &amp; Matriks'!$E$11:$E$36,MATCH(LARGE('Data &amp; Matriks'!$AD$11:$AD$36,14),'Data &amp; Matriks'!$AD$11:$AD$36,0))*1,0)),"")</f>
        <v>0</v>
      </c>
      <c r="F18" s="64">
        <f t="array" ref="F18">IFERROR(IF($B18="","",IFERROR(INDEX('Data &amp; Matriks'!$O$11:$O$36,MATCH(LARGE('Data &amp; Matriks'!$AD$11:$AD$36,14),'Data &amp; Matriks'!$AD$11:$AD$36,0))*1,0)),"")</f>
        <v>0</v>
      </c>
      <c r="G18" s="64">
        <f t="shared" si="1"/>
        <v>0</v>
      </c>
      <c r="H18" s="161" t="str">
        <f t="shared" si="2"/>
        <v/>
      </c>
      <c r="I18" s="64" t="str">
        <f t="array" ref="I18">IFERROR(IF($B18="","",INDEX('Pelan Pengambilan'!$G$6:$G$135,MATCH(1,('Pelan Pengambilan'!$B$6:$B$135=$B18)*('Pelan Pengambilan'!$C$6:$C$135=$C18)*('Pelan Pengambilan'!$G$6:$G$135&lt;&gt;""),0))),"")</f>
        <v/>
      </c>
      <c r="J18" s="161" t="str">
        <f>IFERROR(IF($B18="","",AVERAGEIFS('Pelan Pengambilan'!$F$6:$F$135,'Pelan Pengambilan'!$B$6:$B$135,$B18,'Pelan Pengambilan'!$C$6:$C$135,$C18)),"")</f>
        <v/>
      </c>
    </row>
    <row r="19" ht="24.0" customHeight="1">
      <c r="A19" s="64">
        <f>IFERROR(IF(ISNUMBER(LARGE('Data &amp; Matriks'!$AD$11:$AD$36,15)),15,""),"")</f>
        <v>15</v>
      </c>
      <c r="B19" s="83" t="str">
        <f t="array" ref="B19">IFERROR(INDEX('Data &amp; Matriks'!$B$11:$B$36,MATCH(LARGE('Data &amp; Matriks'!$AD$11:$AD$36,15),'Data &amp; Matriks'!$AD$11:$AD$36,0)),"")</f>
        <v>Pegawai Dietetik</v>
      </c>
      <c r="C19" s="64" t="str">
        <f t="array" ref="C19">IFERROR(INDEX('Data &amp; Matriks'!$C$11:$C$36,MATCH(LARGE('Data &amp; Matriks'!$AD$11:$AD$36,15),'Data &amp; Matriks'!$AD$11:$AD$36,0)),"")</f>
        <v>U9</v>
      </c>
      <c r="D19" s="64">
        <f t="array" ref="D19">IFERROR(IF(INDEX('Data &amp; Matriks'!$D$11:$D$37,MATCH(LARGE('Data &amp; Matriks'!$AD$11:$AD$37,15),'Data &amp; Matriks'!$AD$11:$AD$37,0))="","",INDEX('Data &amp; Matriks'!$D$11:$D$37,MATCH(LARGE('Data &amp; Matriks'!$AD$11:$AD$37,15),'Data &amp; Matriks'!$AD$11:$AD$37,0))),"")</f>
        <v>76</v>
      </c>
      <c r="E19" s="64">
        <f t="array" ref="E19">IFERROR(IF($B19="","",IFERROR(INDEX('Data &amp; Matriks'!$E$11:$E$36,MATCH(LARGE('Data &amp; Matriks'!$AD$11:$AD$36,15),'Data &amp; Matriks'!$AD$11:$AD$36,0))*1,0)),"")</f>
        <v>76</v>
      </c>
      <c r="F19" s="64">
        <f t="array" ref="F19">IFERROR(IF($B19="","",IFERROR(INDEX('Data &amp; Matriks'!$O$11:$O$36,MATCH(LARGE('Data &amp; Matriks'!$AD$11:$AD$36,15),'Data &amp; Matriks'!$AD$11:$AD$36,0))*1,0)),"")</f>
        <v>0</v>
      </c>
      <c r="G19" s="64">
        <f t="shared" si="1"/>
        <v>76</v>
      </c>
      <c r="H19" s="161">
        <f t="shared" si="2"/>
        <v>0</v>
      </c>
      <c r="I19" s="64" t="str">
        <f t="array" ref="I19">IFERROR(IF($B19="","",INDEX('Pelan Pengambilan'!$G$6:$G$135,MATCH(1,('Pelan Pengambilan'!$B$6:$B$135=$B19)*('Pelan Pengambilan'!$C$6:$C$135=$C19)*('Pelan Pengambilan'!$G$6:$G$135&lt;&gt;""),0))),"")</f>
        <v/>
      </c>
      <c r="J19" s="161">
        <f>IFERROR(IF($B19="","",AVERAGEIFS('Pelan Pengambilan'!$F$6:$F$135,'Pelan Pengambilan'!$B$6:$B$135,$B19,'Pelan Pengambilan'!$C$6:$C$135,$C19)),"")</f>
        <v>0</v>
      </c>
    </row>
    <row r="20" ht="24.0" customHeight="1">
      <c r="A20" s="64">
        <f>IFERROR(IF(ISNUMBER(LARGE('Data &amp; Matriks'!$AD$11:$AD$36,16)),16,""),"")</f>
        <v>16</v>
      </c>
      <c r="B20" s="83" t="str">
        <f t="array" ref="B20">IFERROR(INDEX('Data &amp; Matriks'!$B$11:$B$36,MATCH(LARGE('Data &amp; Matriks'!$AD$11:$AD$36,16),'Data &amp; Matriks'!$AD$11:$AD$36,0)),"")</f>
        <v>Pegawai Pemulihan Perubatan (Pendengaran)</v>
      </c>
      <c r="C20" s="64" t="str">
        <f t="array" ref="C20">IFERROR(INDEX('Data &amp; Matriks'!$C$11:$C$36,MATCH(LARGE('Data &amp; Matriks'!$AD$11:$AD$36,16),'Data &amp; Matriks'!$AD$11:$AD$36,0)),"")</f>
        <v>U9</v>
      </c>
      <c r="D20" s="64">
        <f t="array" ref="D20">IFERROR(IF(INDEX('Data &amp; Matriks'!$D$11:$D$37,MATCH(LARGE('Data &amp; Matriks'!$AD$11:$AD$37,16),'Data &amp; Matriks'!$AD$11:$AD$37,0))="","",INDEX('Data &amp; Matriks'!$D$11:$D$37,MATCH(LARGE('Data &amp; Matriks'!$AD$11:$AD$37,16),'Data &amp; Matriks'!$AD$11:$AD$37,0))),"")</f>
        <v>30</v>
      </c>
      <c r="E20" s="64">
        <f t="array" ref="E20">IFERROR(IF($B20="","",IFERROR(INDEX('Data &amp; Matriks'!$E$11:$E$36,MATCH(LARGE('Data &amp; Matriks'!$AD$11:$AD$36,16),'Data &amp; Matriks'!$AD$11:$AD$36,0))*1,0)),"")</f>
        <v>30</v>
      </c>
      <c r="F20" s="64">
        <f t="array" ref="F20">IFERROR(IF($B20="","",IFERROR(INDEX('Data &amp; Matriks'!$O$11:$O$36,MATCH(LARGE('Data &amp; Matriks'!$AD$11:$AD$36,16),'Data &amp; Matriks'!$AD$11:$AD$36,0))*1,0)),"")</f>
        <v>13</v>
      </c>
      <c r="G20" s="64">
        <f t="shared" si="1"/>
        <v>17</v>
      </c>
      <c r="H20" s="161">
        <f t="shared" si="2"/>
        <v>0.4333333333</v>
      </c>
      <c r="I20" s="64" t="str">
        <f t="array" ref="I20">IFERROR(IF($B20="","",INDEX('Pelan Pengambilan'!$G$6:$G$135,MATCH(1,('Pelan Pengambilan'!$B$6:$B$135=$B20)*('Pelan Pengambilan'!$C$6:$C$135=$C20)*('Pelan Pengambilan'!$G$6:$G$135&lt;&gt;""),0))),"")</f>
        <v/>
      </c>
      <c r="J20" s="161">
        <f>IFERROR(IF($B20="","",AVERAGEIFS('Pelan Pengambilan'!$F$6:$F$135,'Pelan Pengambilan'!$B$6:$B$135,$B20,'Pelan Pengambilan'!$C$6:$C$135,$C20)),"")</f>
        <v>0</v>
      </c>
    </row>
    <row r="21" ht="24.0" customHeight="1">
      <c r="A21" s="64">
        <f>IFERROR(IF(ISNUMBER(LARGE('Data &amp; Matriks'!$AD$11:$AD$36,17)),17,""),"")</f>
        <v>17</v>
      </c>
      <c r="B21" s="83" t="str">
        <f t="array" ref="B21">IFERROR(INDEX('Data &amp; Matriks'!$B$11:$B$36,MATCH(LARGE('Data &amp; Matriks'!$AD$11:$AD$36,17),'Data &amp; Matriks'!$AD$11:$AD$36,0)),"")</f>
        <v>Pegawai Optometri</v>
      </c>
      <c r="C21" s="64" t="str">
        <f t="array" ref="C21">IFERROR(INDEX('Data &amp; Matriks'!$C$11:$C$36,MATCH(LARGE('Data &amp; Matriks'!$AD$11:$AD$36,17),'Data &amp; Matriks'!$AD$11:$AD$36,0)),"")</f>
        <v>U9</v>
      </c>
      <c r="D21" s="64">
        <f t="array" ref="D21">IFERROR(IF(INDEX('Data &amp; Matriks'!$D$11:$D$37,MATCH(LARGE('Data &amp; Matriks'!$AD$11:$AD$37,17),'Data &amp; Matriks'!$AD$11:$AD$37,0))="","",INDEX('Data &amp; Matriks'!$D$11:$D$37,MATCH(LARGE('Data &amp; Matriks'!$AD$11:$AD$37,17),'Data &amp; Matriks'!$AD$11:$AD$37,0))),"")</f>
        <v>34</v>
      </c>
      <c r="E21" s="64">
        <f t="array" ref="E21">IFERROR(IF($B21="","",IFERROR(INDEX('Data &amp; Matriks'!$E$11:$E$36,MATCH(LARGE('Data &amp; Matriks'!$AD$11:$AD$36,17),'Data &amp; Matriks'!$AD$11:$AD$36,0))*1,0)),"")</f>
        <v>34</v>
      </c>
      <c r="F21" s="64">
        <f t="array" ref="F21">IFERROR(IF($B21="","",IFERROR(INDEX('Data &amp; Matriks'!$O$11:$O$36,MATCH(LARGE('Data &amp; Matriks'!$AD$11:$AD$36,17),'Data &amp; Matriks'!$AD$11:$AD$36,0))*1,0)),"")</f>
        <v>0</v>
      </c>
      <c r="G21" s="64">
        <f t="shared" si="1"/>
        <v>34</v>
      </c>
      <c r="H21" s="161">
        <f t="shared" si="2"/>
        <v>0</v>
      </c>
      <c r="I21" s="64" t="str">
        <f t="array" ref="I21">IFERROR(IF($B21="","",INDEX('Pelan Pengambilan'!$G$6:$G$135,MATCH(1,('Pelan Pengambilan'!$B$6:$B$135=$B21)*('Pelan Pengambilan'!$C$6:$C$135=$C21)*('Pelan Pengambilan'!$G$6:$G$135&lt;&gt;""),0))),"")</f>
        <v/>
      </c>
      <c r="J21" s="161">
        <f>IFERROR(IF($B21="","",AVERAGEIFS('Pelan Pengambilan'!$F$6:$F$135,'Pelan Pengambilan'!$B$6:$B$135,$B21,'Pelan Pengambilan'!$C$6:$C$135,$C21)),"")</f>
        <v>0</v>
      </c>
    </row>
    <row r="22" ht="24.0" customHeight="1">
      <c r="A22" s="64">
        <f>IFERROR(IF(ISNUMBER(LARGE('Data &amp; Matriks'!$AD$11:$AD$36,18)),18,""),"")</f>
        <v>18</v>
      </c>
      <c r="B22" s="83" t="str">
        <f t="array" ref="B22">IFERROR(INDEX('Data &amp; Matriks'!$B$11:$B$36,MATCH(LARGE('Data &amp; Matriks'!$AD$11:$AD$36,18),'Data &amp; Matriks'!$AD$11:$AD$36,0)),"")</f>
        <v>Pengajar (Penolong Pegawai Kesihatan Persekitaran)</v>
      </c>
      <c r="C22" s="64" t="str">
        <f t="array" ref="C22">IFERROR(INDEX('Data &amp; Matriks'!$C$11:$C$36,MATCH(LARGE('Data &amp; Matriks'!$AD$11:$AD$36,18),'Data &amp; Matriks'!$AD$11:$AD$36,0)),"")</f>
        <v>U9</v>
      </c>
      <c r="D22" s="64">
        <f t="array" ref="D22">IFERROR(IF(INDEX('Data &amp; Matriks'!$D$11:$D$37,MATCH(LARGE('Data &amp; Matriks'!$AD$11:$AD$37,18),'Data &amp; Matriks'!$AD$11:$AD$37,0))="","",INDEX('Data &amp; Matriks'!$D$11:$D$37,MATCH(LARGE('Data &amp; Matriks'!$AD$11:$AD$37,18),'Data &amp; Matriks'!$AD$11:$AD$37,0))),"")</f>
        <v>8</v>
      </c>
      <c r="E22" s="64">
        <f t="array" ref="E22">IFERROR(IF($B22="","",IFERROR(INDEX('Data &amp; Matriks'!$E$11:$E$36,MATCH(LARGE('Data &amp; Matriks'!$AD$11:$AD$36,18),'Data &amp; Matriks'!$AD$11:$AD$36,0))*1,0)),"")</f>
        <v>8</v>
      </c>
      <c r="F22" s="64">
        <f t="array" ref="F22">IFERROR(IF($B22="","",IFERROR(INDEX('Data &amp; Matriks'!$O$11:$O$36,MATCH(LARGE('Data &amp; Matriks'!$AD$11:$AD$36,18),'Data &amp; Matriks'!$AD$11:$AD$36,0))*1,0)),"")</f>
        <v>0</v>
      </c>
      <c r="G22" s="64">
        <f t="shared" si="1"/>
        <v>8</v>
      </c>
      <c r="H22" s="161">
        <f t="shared" si="2"/>
        <v>0</v>
      </c>
      <c r="I22" s="64" t="str">
        <f t="array" ref="I22">IFERROR(IF($B22="","",INDEX('Pelan Pengambilan'!$G$6:$G$135,MATCH(1,('Pelan Pengambilan'!$B$6:$B$135=$B22)*('Pelan Pengambilan'!$C$6:$C$135=$C22)*('Pelan Pengambilan'!$G$6:$G$135&lt;&gt;""),0))),"")</f>
        <v/>
      </c>
      <c r="J22" s="161">
        <f>IFERROR(IF($B22="","",AVERAGEIFS('Pelan Pengambilan'!$F$6:$F$135,'Pelan Pengambilan'!$B$6:$B$135,$B22,'Pelan Pengambilan'!$C$6:$C$135,$C22)),"")</f>
        <v>0</v>
      </c>
    </row>
    <row r="23" ht="24.0" customHeight="1">
      <c r="A23" s="64">
        <f>IFERROR(IF(ISNUMBER(LARGE('Data &amp; Matriks'!$AD$11:$AD$36,19)),19,""),"")</f>
        <v>19</v>
      </c>
      <c r="B23" s="83" t="str">
        <f t="array" ref="B23">IFERROR(INDEX('Data &amp; Matriks'!$B$11:$B$36,MATCH(LARGE('Data &amp; Matriks'!$AD$11:$AD$36,19),'Data &amp; Matriks'!$AD$11:$AD$36,0)),"")</f>
        <v>Pengajar (Juruterapi Pergigian)</v>
      </c>
      <c r="C23" s="64" t="str">
        <f t="array" ref="C23">IFERROR(INDEX('Data &amp; Matriks'!$C$11:$C$36,MATCH(LARGE('Data &amp; Matriks'!$AD$11:$AD$36,19),'Data &amp; Matriks'!$AD$11:$AD$36,0)),"")</f>
        <v>U9</v>
      </c>
      <c r="D23" s="64">
        <f t="array" ref="D23">IFERROR(IF(INDEX('Data &amp; Matriks'!$D$11:$D$37,MATCH(LARGE('Data &amp; Matriks'!$AD$11:$AD$37,19),'Data &amp; Matriks'!$AD$11:$AD$37,0))="","",INDEX('Data &amp; Matriks'!$D$11:$D$37,MATCH(LARGE('Data &amp; Matriks'!$AD$11:$AD$37,19),'Data &amp; Matriks'!$AD$11:$AD$37,0))),"")</f>
        <v>1</v>
      </c>
      <c r="E23" s="64">
        <f t="array" ref="E23">IFERROR(IF($B23="","",IFERROR(INDEX('Data &amp; Matriks'!$E$11:$E$36,MATCH(LARGE('Data &amp; Matriks'!$AD$11:$AD$36,19),'Data &amp; Matriks'!$AD$11:$AD$36,0))*1,0)),"")</f>
        <v>0</v>
      </c>
      <c r="F23" s="64">
        <f t="array" ref="F23">IFERROR(IF($B23="","",IFERROR(INDEX('Data &amp; Matriks'!$O$11:$O$36,MATCH(LARGE('Data &amp; Matriks'!$AD$11:$AD$36,19),'Data &amp; Matriks'!$AD$11:$AD$36,0))*1,0)),"")</f>
        <v>0</v>
      </c>
      <c r="G23" s="64">
        <f t="shared" si="1"/>
        <v>0</v>
      </c>
      <c r="H23" s="161" t="str">
        <f t="shared" si="2"/>
        <v/>
      </c>
      <c r="I23" s="64" t="str">
        <f t="array" ref="I23">IFERROR(IF($B23="","",INDEX('Pelan Pengambilan'!$G$6:$G$135,MATCH(1,('Pelan Pengambilan'!$B$6:$B$135=$B23)*('Pelan Pengambilan'!$C$6:$C$135=$C23)*('Pelan Pengambilan'!$G$6:$G$135&lt;&gt;""),0))),"")</f>
        <v/>
      </c>
      <c r="J23" s="161" t="str">
        <f>IFERROR(IF($B23="","",AVERAGEIFS('Pelan Pengambilan'!$F$6:$F$135,'Pelan Pengambilan'!$B$6:$B$135,$B23,'Pelan Pengambilan'!$C$6:$C$135,$C23)),"")</f>
        <v/>
      </c>
    </row>
    <row r="24" ht="24.0" customHeight="1">
      <c r="A24" s="64">
        <f>IFERROR(IF(ISNUMBER(LARGE('Data &amp; Matriks'!$AD$11:$AD$36,20)),20,""),"")</f>
        <v>20</v>
      </c>
      <c r="B24" s="83" t="str">
        <f t="array" ref="B24">IFERROR(INDEX('Data &amp; Matriks'!$B$11:$B$36,MATCH(LARGE('Data &amp; Matriks'!$AD$11:$AD$36,20),'Data &amp; Matriks'!$AD$11:$AD$36,0)),"")</f>
        <v>Pengajar  (Juruteknologi Pergigian)</v>
      </c>
      <c r="C24" s="64" t="str">
        <f t="array" ref="C24">IFERROR(INDEX('Data &amp; Matriks'!$C$11:$C$36,MATCH(LARGE('Data &amp; Matriks'!$AD$11:$AD$36,20),'Data &amp; Matriks'!$AD$11:$AD$36,0)),"")</f>
        <v>U9</v>
      </c>
      <c r="D24" s="64">
        <f t="array" ref="D24">IFERROR(IF(INDEX('Data &amp; Matriks'!$D$11:$D$37,MATCH(LARGE('Data &amp; Matriks'!$AD$11:$AD$37,20),'Data &amp; Matriks'!$AD$11:$AD$37,0))="","",INDEX('Data &amp; Matriks'!$D$11:$D$37,MATCH(LARGE('Data &amp; Matriks'!$AD$11:$AD$37,20),'Data &amp; Matriks'!$AD$11:$AD$37,0))),"")</f>
        <v>4</v>
      </c>
      <c r="E24" s="64">
        <f t="array" ref="E24">IFERROR(IF($B24="","",IFERROR(INDEX('Data &amp; Matriks'!$E$11:$E$36,MATCH(LARGE('Data &amp; Matriks'!$AD$11:$AD$36,20),'Data &amp; Matriks'!$AD$11:$AD$36,0))*1,0)),"")</f>
        <v>4</v>
      </c>
      <c r="F24" s="64">
        <f t="array" ref="F24">IFERROR(IF($B24="","",IFERROR(INDEX('Data &amp; Matriks'!$O$11:$O$36,MATCH(LARGE('Data &amp; Matriks'!$AD$11:$AD$36,20),'Data &amp; Matriks'!$AD$11:$AD$36,0))*1,0)),"")</f>
        <v>0</v>
      </c>
      <c r="G24" s="64">
        <f t="shared" si="1"/>
        <v>4</v>
      </c>
      <c r="H24" s="161">
        <f t="shared" si="2"/>
        <v>0</v>
      </c>
      <c r="I24" s="64" t="str">
        <f t="array" ref="I24">IFERROR(IF($B24="","",INDEX('Pelan Pengambilan'!$G$6:$G$135,MATCH(1,('Pelan Pengambilan'!$B$6:$B$135=$B24)*('Pelan Pengambilan'!$C$6:$C$135=$C24)*('Pelan Pengambilan'!$G$6:$G$135&lt;&gt;""),0))),"")</f>
        <v/>
      </c>
      <c r="J24" s="161">
        <f>IFERROR(IF($B24="","",AVERAGEIFS('Pelan Pengambilan'!$F$6:$F$135,'Pelan Pengambilan'!$B$6:$B$135,$B24,'Pelan Pengambilan'!$C$6:$C$135,$C24)),"")</f>
        <v>0</v>
      </c>
    </row>
    <row r="25" ht="24.0" customHeight="1">
      <c r="A25" s="64">
        <f>IFERROR(IF(ISNUMBER(LARGE('Data &amp; Matriks'!$AD$11:$AD$36,21)),21,""),"")</f>
        <v>21</v>
      </c>
      <c r="B25" s="83" t="str">
        <f t="array" ref="B25">IFERROR(INDEX('Data &amp; Matriks'!$B$11:$B$36,MATCH(LARGE('Data &amp; Matriks'!$AD$11:$AD$36,21),'Data &amp; Matriks'!$AD$11:$AD$36,0)),"")</f>
        <v>Pengajar  (Penolong Pegawai Farmasi)</v>
      </c>
      <c r="C25" s="64" t="str">
        <f t="array" ref="C25">IFERROR(INDEX('Data &amp; Matriks'!$C$11:$C$36,MATCH(LARGE('Data &amp; Matriks'!$AD$11:$AD$36,21),'Data &amp; Matriks'!$AD$11:$AD$36,0)),"")</f>
        <v>U9</v>
      </c>
      <c r="D25" s="64">
        <f t="array" ref="D25">IFERROR(IF(INDEX('Data &amp; Matriks'!$D$11:$D$37,MATCH(LARGE('Data &amp; Matriks'!$AD$11:$AD$37,21),'Data &amp; Matriks'!$AD$11:$AD$37,0))="","",INDEX('Data &amp; Matriks'!$D$11:$D$37,MATCH(LARGE('Data &amp; Matriks'!$AD$11:$AD$37,21),'Data &amp; Matriks'!$AD$11:$AD$37,0))),"")</f>
        <v>9</v>
      </c>
      <c r="E25" s="64">
        <f t="array" ref="E25">IFERROR(IF($B25="","",IFERROR(INDEX('Data &amp; Matriks'!$E$11:$E$36,MATCH(LARGE('Data &amp; Matriks'!$AD$11:$AD$36,21),'Data &amp; Matriks'!$AD$11:$AD$36,0))*1,0)),"")</f>
        <v>2</v>
      </c>
      <c r="F25" s="64">
        <f t="array" ref="F25">IFERROR(IF($B25="","",IFERROR(INDEX('Data &amp; Matriks'!$O$11:$O$36,MATCH(LARGE('Data &amp; Matriks'!$AD$11:$AD$36,21),'Data &amp; Matriks'!$AD$11:$AD$36,0))*1,0)),"")</f>
        <v>0</v>
      </c>
      <c r="G25" s="64">
        <f t="shared" si="1"/>
        <v>2</v>
      </c>
      <c r="H25" s="161">
        <f t="shared" si="2"/>
        <v>0</v>
      </c>
      <c r="I25" s="64" t="str">
        <f t="array" ref="I25">IFERROR(IF($B25="","",INDEX('Pelan Pengambilan'!$G$6:$G$135,MATCH(1,('Pelan Pengambilan'!$B$6:$B$135=$B25)*('Pelan Pengambilan'!$C$6:$C$135=$C25)*('Pelan Pengambilan'!$G$6:$G$135&lt;&gt;""),0))),"")</f>
        <v/>
      </c>
      <c r="J25" s="161">
        <f>IFERROR(IF($B25="","",AVERAGEIFS('Pelan Pengambilan'!$F$6:$F$135,'Pelan Pengambilan'!$B$6:$B$135,$B25,'Pelan Pengambilan'!$C$6:$C$135,$C25)),"")</f>
        <v>0</v>
      </c>
    </row>
    <row r="26" ht="24.0" customHeight="1">
      <c r="A26" s="64">
        <f>IFERROR(IF(ISNUMBER(LARGE('Data &amp; Matriks'!$AD$11:$AD$36,22)),22,""),"")</f>
        <v>22</v>
      </c>
      <c r="B26" s="83" t="str">
        <f t="array" ref="B26">IFERROR(INDEX('Data &amp; Matriks'!$B$11:$B$36,MATCH(LARGE('Data &amp; Matriks'!$AD$11:$AD$36,22),'Data &amp; Matriks'!$AD$11:$AD$36,0)),"")</f>
        <v>Pengajar (Jurupulih Perubatan Carakerja)</v>
      </c>
      <c r="C26" s="64" t="str">
        <f t="array" ref="C26">IFERROR(INDEX('Data &amp; Matriks'!$C$11:$C$36,MATCH(LARGE('Data &amp; Matriks'!$AD$11:$AD$36,22),'Data &amp; Matriks'!$AD$11:$AD$36,0)),"")</f>
        <v>U9</v>
      </c>
      <c r="D26" s="64">
        <f t="array" ref="D26">IFERROR(IF(INDEX('Data &amp; Matriks'!$D$11:$D$37,MATCH(LARGE('Data &amp; Matriks'!$AD$11:$AD$37,22),'Data &amp; Matriks'!$AD$11:$AD$37,0))="","",INDEX('Data &amp; Matriks'!$D$11:$D$37,MATCH(LARGE('Data &amp; Matriks'!$AD$11:$AD$37,22),'Data &amp; Matriks'!$AD$11:$AD$37,0))),"")</f>
        <v>2</v>
      </c>
      <c r="E26" s="64">
        <f t="array" ref="E26">IFERROR(IF($B26="","",IFERROR(INDEX('Data &amp; Matriks'!$E$11:$E$36,MATCH(LARGE('Data &amp; Matriks'!$AD$11:$AD$36,22),'Data &amp; Matriks'!$AD$11:$AD$36,0))*1,0)),"")</f>
        <v>2</v>
      </c>
      <c r="F26" s="64">
        <f t="array" ref="F26">IFERROR(IF($B26="","",IFERROR(INDEX('Data &amp; Matriks'!$O$11:$O$36,MATCH(LARGE('Data &amp; Matriks'!$AD$11:$AD$36,22),'Data &amp; Matriks'!$AD$11:$AD$36,0))*1,0)),"")</f>
        <v>0</v>
      </c>
      <c r="G26" s="64">
        <f t="shared" si="1"/>
        <v>2</v>
      </c>
      <c r="H26" s="161">
        <f t="shared" si="2"/>
        <v>0</v>
      </c>
      <c r="I26" s="64" t="str">
        <f t="array" ref="I26">IFERROR(IF($B26="","",INDEX('Pelan Pengambilan'!$G$6:$G$135,MATCH(1,('Pelan Pengambilan'!$B$6:$B$135=$B26)*('Pelan Pengambilan'!$C$6:$C$135=$C26)*('Pelan Pengambilan'!$G$6:$G$135&lt;&gt;""),0))),"")</f>
        <v/>
      </c>
      <c r="J26" s="161">
        <f>IFERROR(IF($B26="","",AVERAGEIFS('Pelan Pengambilan'!$F$6:$F$135,'Pelan Pengambilan'!$B$6:$B$135,$B26,'Pelan Pengambilan'!$C$6:$C$135,$C26)),"")</f>
        <v>0</v>
      </c>
    </row>
    <row r="27" ht="24.0" customHeight="1">
      <c r="A27" s="64">
        <f>IFERROR(IF(ISNUMBER(LARGE('Data &amp; Matriks'!$AD$11:$AD$36,23)),23,""),"")</f>
        <v>23</v>
      </c>
      <c r="B27" s="83" t="str">
        <f t="array" ref="B27">IFERROR(INDEX('Data &amp; Matriks'!$B$11:$B$36,MATCH(LARGE('Data &amp; Matriks'!$AD$11:$AD$36,23),'Data &amp; Matriks'!$AD$11:$AD$36,0)),"")</f>
        <v>Pengajar (Jurupulih Perubatan Angota)</v>
      </c>
      <c r="C27" s="64" t="str">
        <f t="array" ref="C27">IFERROR(INDEX('Data &amp; Matriks'!$C$11:$C$36,MATCH(LARGE('Data &amp; Matriks'!$AD$11:$AD$36,23),'Data &amp; Matriks'!$AD$11:$AD$36,0)),"")</f>
        <v>U9</v>
      </c>
      <c r="D27" s="64">
        <f t="array" ref="D27">IFERROR(IF(INDEX('Data &amp; Matriks'!$D$11:$D$37,MATCH(LARGE('Data &amp; Matriks'!$AD$11:$AD$37,23),'Data &amp; Matriks'!$AD$11:$AD$37,0))="","",INDEX('Data &amp; Matriks'!$D$11:$D$37,MATCH(LARGE('Data &amp; Matriks'!$AD$11:$AD$37,23),'Data &amp; Matriks'!$AD$11:$AD$37,0))),"")</f>
        <v>1</v>
      </c>
      <c r="E27" s="64">
        <f t="array" ref="E27">IFERROR(IF($B27="","",IFERROR(INDEX('Data &amp; Matriks'!$E$11:$E$36,MATCH(LARGE('Data &amp; Matriks'!$AD$11:$AD$36,23),'Data &amp; Matriks'!$AD$11:$AD$36,0))*1,0)),"")</f>
        <v>0</v>
      </c>
      <c r="F27" s="64">
        <f t="array" ref="F27">IFERROR(IF($B27="","",IFERROR(INDEX('Data &amp; Matriks'!$O$11:$O$36,MATCH(LARGE('Data &amp; Matriks'!$AD$11:$AD$36,23),'Data &amp; Matriks'!$AD$11:$AD$36,0))*1,0)),"")</f>
        <v>0</v>
      </c>
      <c r="G27" s="64">
        <f t="shared" si="1"/>
        <v>0</v>
      </c>
      <c r="H27" s="161" t="str">
        <f t="shared" si="2"/>
        <v/>
      </c>
      <c r="I27" s="64" t="str">
        <f t="array" ref="I27">IFERROR(IF($B27="","",INDEX('Pelan Pengambilan'!$G$6:$G$135,MATCH(1,('Pelan Pengambilan'!$B$6:$B$135=$B27)*('Pelan Pengambilan'!$C$6:$C$135=$C27)*('Pelan Pengambilan'!$G$6:$G$135&lt;&gt;""),0))),"")</f>
        <v/>
      </c>
      <c r="J27" s="161" t="str">
        <f>IFERROR(IF($B27="","",AVERAGEIFS('Pelan Pengambilan'!$F$6:$F$135,'Pelan Pengambilan'!$B$6:$B$135,$B27,'Pelan Pengambilan'!$C$6:$C$135,$C27)),"")</f>
        <v/>
      </c>
    </row>
    <row r="28" ht="24.0" customHeight="1">
      <c r="A28" s="64">
        <f>IFERROR(IF(ISNUMBER(LARGE('Data &amp; Matriks'!$AD$11:$AD$36,24)),24,""),"")</f>
        <v>24</v>
      </c>
      <c r="B28" s="83" t="str">
        <f t="array" ref="B28">IFERROR(INDEX('Data &amp; Matriks'!$B$11:$B$36,MATCH(LARGE('Data &amp; Matriks'!$AD$11:$AD$36,24),'Data &amp; Matriks'!$AD$11:$AD$36,0)),"")</f>
        <v>Pengajar (Radiografi &amp; Radioterapi - Juru X-Ray)</v>
      </c>
      <c r="C28" s="64" t="str">
        <f t="array" ref="C28">IFERROR(INDEX('Data &amp; Matriks'!$C$11:$C$36,MATCH(LARGE('Data &amp; Matriks'!$AD$11:$AD$36,24),'Data &amp; Matriks'!$AD$11:$AD$36,0)),"")</f>
        <v>U9</v>
      </c>
      <c r="D28" s="64">
        <f t="array" ref="D28">IFERROR(IF(INDEX('Data &amp; Matriks'!$D$11:$D$37,MATCH(LARGE('Data &amp; Matriks'!$AD$11:$AD$37,24),'Data &amp; Matriks'!$AD$11:$AD$37,0))="","",INDEX('Data &amp; Matriks'!$D$11:$D$37,MATCH(LARGE('Data &amp; Matriks'!$AD$11:$AD$37,24),'Data &amp; Matriks'!$AD$11:$AD$37,0))),"")</f>
        <v>5</v>
      </c>
      <c r="E28" s="64">
        <f t="array" ref="E28">IFERROR(IF($B28="","",IFERROR(INDEX('Data &amp; Matriks'!$E$11:$E$36,MATCH(LARGE('Data &amp; Matriks'!$AD$11:$AD$36,24),'Data &amp; Matriks'!$AD$11:$AD$36,0))*1,0)),"")</f>
        <v>3</v>
      </c>
      <c r="F28" s="64">
        <f t="array" ref="F28">IFERROR(IF($B28="","",IFERROR(INDEX('Data &amp; Matriks'!$O$11:$O$36,MATCH(LARGE('Data &amp; Matriks'!$AD$11:$AD$36,24),'Data &amp; Matriks'!$AD$11:$AD$36,0))*1,0)),"")</f>
        <v>0</v>
      </c>
      <c r="G28" s="64">
        <f t="shared" si="1"/>
        <v>3</v>
      </c>
      <c r="H28" s="161">
        <f t="shared" si="2"/>
        <v>0</v>
      </c>
      <c r="I28" s="64" t="str">
        <f t="array" ref="I28">IFERROR(IF($B28="","",INDEX('Pelan Pengambilan'!$G$6:$G$135,MATCH(1,('Pelan Pengambilan'!$B$6:$B$135=$B28)*('Pelan Pengambilan'!$C$6:$C$135=$C28)*('Pelan Pengambilan'!$G$6:$G$135&lt;&gt;""),0))),"")</f>
        <v/>
      </c>
      <c r="J28" s="161">
        <f>IFERROR(IF($B28="","",AVERAGEIFS('Pelan Pengambilan'!$F$6:$F$135,'Pelan Pengambilan'!$B$6:$B$135,$B28,'Pelan Pengambilan'!$C$6:$C$135,$C28)),"")</f>
        <v>0</v>
      </c>
    </row>
    <row r="29" ht="24.0" customHeight="1">
      <c r="A29" s="64">
        <f>IFERROR(IF(ISNUMBER(LARGE('Data &amp; Matriks'!$AD$11:$AD$36,25)),25,""),"")</f>
        <v>25</v>
      </c>
      <c r="B29" s="83" t="str">
        <f t="array" ref="B29">IFERROR(INDEX('Data &amp; Matriks'!$B$11:$B$36,MATCH(LARGE('Data &amp; Matriks'!$AD$11:$AD$36,25),'Data &amp; Matriks'!$AD$11:$AD$36,0)),"")</f>
        <v>Pengajar (Juruteknologi Makmal Perubatan)</v>
      </c>
      <c r="C29" s="64" t="str">
        <f t="array" ref="C29">IFERROR(INDEX('Data &amp; Matriks'!$C$11:$C$36,MATCH(LARGE('Data &amp; Matriks'!$AD$11:$AD$36,25),'Data &amp; Matriks'!$AD$11:$AD$36,0)),"")</f>
        <v>U9</v>
      </c>
      <c r="D29" s="64">
        <f t="array" ref="D29">IFERROR(IF(INDEX('Data &amp; Matriks'!$D$11:$D$37,MATCH(LARGE('Data &amp; Matriks'!$AD$11:$AD$37,25),'Data &amp; Matriks'!$AD$11:$AD$37,0))="","",INDEX('Data &amp; Matriks'!$D$11:$D$37,MATCH(LARGE('Data &amp; Matriks'!$AD$11:$AD$37,25),'Data &amp; Matriks'!$AD$11:$AD$37,0))),"")</f>
        <v>4</v>
      </c>
      <c r="E29" s="64">
        <f t="array" ref="E29">IFERROR(IF($B29="","",IFERROR(INDEX('Data &amp; Matriks'!$E$11:$E$36,MATCH(LARGE('Data &amp; Matriks'!$AD$11:$AD$36,25),'Data &amp; Matriks'!$AD$11:$AD$36,0))*1,0)),"")</f>
        <v>0</v>
      </c>
      <c r="F29" s="64">
        <f t="array" ref="F29">IFERROR(IF($B29="","",IFERROR(INDEX('Data &amp; Matriks'!$O$11:$O$36,MATCH(LARGE('Data &amp; Matriks'!$AD$11:$AD$36,25),'Data &amp; Matriks'!$AD$11:$AD$36,0))*1,0)),"")</f>
        <v>0</v>
      </c>
      <c r="G29" s="64">
        <f t="shared" si="1"/>
        <v>0</v>
      </c>
      <c r="H29" s="161" t="str">
        <f t="shared" si="2"/>
        <v/>
      </c>
      <c r="I29" s="64" t="str">
        <f t="array" ref="I29">IFERROR(IF($B29="","",INDEX('Pelan Pengambilan'!$G$6:$G$135,MATCH(1,('Pelan Pengambilan'!$B$6:$B$135=$B29)*('Pelan Pengambilan'!$C$6:$C$135=$C29)*('Pelan Pengambilan'!$G$6:$G$135&lt;&gt;""),0))),"")</f>
        <v/>
      </c>
      <c r="J29" s="161" t="str">
        <f>IFERROR(IF($B29="","",AVERAGEIFS('Pelan Pengambilan'!$F$6:$F$135,'Pelan Pengambilan'!$B$6:$B$135,$B29,'Pelan Pengambilan'!$C$6:$C$135,$C29)),"")</f>
        <v/>
      </c>
    </row>
    <row r="30" ht="24.0" customHeight="1">
      <c r="A30" s="64">
        <f>IFERROR(IF(ISNUMBER(LARGE('Data &amp; Matriks'!$AD$11:$AD$36,26)),26,""),"")</f>
        <v>26</v>
      </c>
      <c r="B30" s="83" t="str">
        <f t="array" ref="B30">IFERROR(INDEX('Data &amp; Matriks'!$B$11:$B$36,MATCH(LARGE('Data &amp; Matriks'!$AD$11:$AD$36,26),'Data &amp; Matriks'!$AD$11:$AD$36,0)),"")</f>
        <v>Juru X-Ray (Terapi)</v>
      </c>
      <c r="C30" s="64" t="str">
        <f t="array" ref="C30">IFERROR(INDEX('Data &amp; Matriks'!$C$11:$C$36,MATCH(LARGE('Data &amp; Matriks'!$AD$11:$AD$36,26),'Data &amp; Matriks'!$AD$11:$AD$36,0)),"")</f>
        <v>U9</v>
      </c>
      <c r="D30" s="64">
        <f t="array" ref="D30">IFERROR(IF(INDEX('Data &amp; Matriks'!$D$11:$D$37,MATCH(LARGE('Data &amp; Matriks'!$AD$11:$AD$37,26),'Data &amp; Matriks'!$AD$11:$AD$37,0))="","",INDEX('Data &amp; Matriks'!$D$11:$D$37,MATCH(LARGE('Data &amp; Matriks'!$AD$11:$AD$37,26),'Data &amp; Matriks'!$AD$11:$AD$37,0))),"")</f>
        <v>0</v>
      </c>
      <c r="E30" s="64">
        <f t="array" ref="E30">IFERROR(IF($B30="","",IFERROR(INDEX('Data &amp; Matriks'!$E$11:$E$36,MATCH(LARGE('Data &amp; Matriks'!$AD$11:$AD$36,26),'Data &amp; Matriks'!$AD$11:$AD$36,0))*1,0)),"")</f>
        <v>0</v>
      </c>
      <c r="F30" s="64">
        <f t="array" ref="F30">IFERROR(IF($B30="","",IFERROR(INDEX('Data &amp; Matriks'!$O$11:$O$36,MATCH(LARGE('Data &amp; Matriks'!$AD$11:$AD$36,26),'Data &amp; Matriks'!$AD$11:$AD$36,0))*1,0)),"")</f>
        <v>0</v>
      </c>
      <c r="G30" s="64">
        <f t="shared" si="1"/>
        <v>0</v>
      </c>
      <c r="H30" s="161" t="str">
        <f t="shared" si="2"/>
        <v/>
      </c>
      <c r="I30" s="64" t="str">
        <f t="array" ref="I30">IFERROR(IF($B30="","",INDEX('Pelan Pengambilan'!$G$6:$G$135,MATCH(1,('Pelan Pengambilan'!$B$6:$B$135=$B30)*('Pelan Pengambilan'!$C$6:$C$135=$C30)*('Pelan Pengambilan'!$G$6:$G$135&lt;&gt;""),0))),"")</f>
        <v/>
      </c>
      <c r="J30" s="161" t="str">
        <f>IFERROR(IF($B30="","",AVERAGEIFS('Pelan Pengambilan'!$F$6:$F$135,'Pelan Pengambilan'!$B$6:$B$135,$B30,'Pelan Pengambilan'!$C$6:$C$135,$C30)),"")</f>
        <v/>
      </c>
    </row>
    <row r="31" ht="15.75" customHeight="1">
      <c r="A31" s="3"/>
      <c r="B31" s="3"/>
      <c r="C31" s="3"/>
      <c r="D31" s="3"/>
      <c r="E31" s="3"/>
      <c r="F31" s="3"/>
      <c r="G31" s="3"/>
      <c r="H31" s="3"/>
      <c r="I31" s="3"/>
      <c r="J31" s="3"/>
    </row>
    <row r="32" ht="15.75" customHeight="1">
      <c r="A32" s="3"/>
      <c r="B32" s="3"/>
      <c r="C32" s="3"/>
      <c r="D32" s="3"/>
      <c r="E32" s="3"/>
      <c r="F32" s="3"/>
      <c r="G32" s="3"/>
      <c r="H32" s="3"/>
      <c r="I32" s="3"/>
      <c r="J32" s="3"/>
    </row>
    <row r="33" ht="15.75" customHeight="1">
      <c r="A33" s="3"/>
      <c r="B33" s="3"/>
      <c r="C33" s="3"/>
      <c r="D33" s="3"/>
      <c r="E33" s="3"/>
      <c r="F33" s="3"/>
      <c r="G33" s="3"/>
      <c r="H33" s="3"/>
      <c r="I33" s="3"/>
      <c r="J33" s="3"/>
    </row>
    <row r="34" ht="15.75" customHeight="1">
      <c r="A34" s="3"/>
      <c r="B34" s="3"/>
      <c r="C34" s="3"/>
      <c r="D34" s="3"/>
      <c r="E34" s="3"/>
      <c r="F34" s="3"/>
      <c r="G34" s="3"/>
      <c r="H34" s="3"/>
      <c r="I34" s="3"/>
      <c r="J34" s="3"/>
    </row>
    <row r="35" ht="15.75" customHeight="1">
      <c r="A35" s="3"/>
      <c r="B35" s="3"/>
      <c r="C35" s="3"/>
      <c r="D35" s="3"/>
      <c r="E35" s="3"/>
      <c r="F35" s="3"/>
      <c r="G35" s="3"/>
      <c r="H35" s="3"/>
      <c r="I35" s="3"/>
      <c r="J35" s="3"/>
    </row>
    <row r="36" ht="15.75" customHeight="1">
      <c r="A36" s="3"/>
      <c r="B36" s="3"/>
      <c r="C36" s="3"/>
      <c r="D36" s="3"/>
      <c r="E36" s="3"/>
      <c r="F36" s="3"/>
      <c r="G36" s="3"/>
      <c r="H36" s="3"/>
      <c r="I36" s="3"/>
      <c r="J36" s="3"/>
    </row>
    <row r="37" ht="15.75" customHeight="1">
      <c r="A37" s="3"/>
      <c r="B37" s="3"/>
      <c r="C37" s="3"/>
      <c r="D37" s="3"/>
      <c r="E37" s="3"/>
      <c r="F37" s="3"/>
      <c r="G37" s="3"/>
      <c r="H37" s="3"/>
      <c r="I37" s="3"/>
      <c r="J37" s="3"/>
    </row>
    <row r="38" ht="15.75" customHeight="1">
      <c r="A38" s="3"/>
      <c r="B38" s="3"/>
      <c r="C38" s="3"/>
      <c r="D38" s="3"/>
      <c r="E38" s="3"/>
      <c r="F38" s="3"/>
      <c r="G38" s="3"/>
      <c r="H38" s="3"/>
      <c r="I38" s="3"/>
      <c r="J38" s="3"/>
    </row>
    <row r="39" ht="15.75" customHeight="1">
      <c r="A39" s="3"/>
      <c r="B39" s="3"/>
      <c r="C39" s="3"/>
      <c r="D39" s="3"/>
      <c r="E39" s="3"/>
      <c r="F39" s="3"/>
      <c r="G39" s="3"/>
      <c r="H39" s="3"/>
      <c r="I39" s="3"/>
      <c r="J39" s="3"/>
    </row>
    <row r="40" ht="15.75" customHeight="1">
      <c r="A40" s="3"/>
      <c r="B40" s="3"/>
      <c r="C40" s="3"/>
      <c r="D40" s="3"/>
      <c r="E40" s="3"/>
      <c r="F40" s="3"/>
      <c r="G40" s="3"/>
      <c r="H40" s="3"/>
      <c r="I40" s="3"/>
      <c r="J40" s="3"/>
    </row>
    <row r="41" ht="15.75" customHeight="1">
      <c r="A41" s="3"/>
      <c r="B41" s="3"/>
      <c r="C41" s="3"/>
      <c r="D41" s="3"/>
      <c r="E41" s="3"/>
      <c r="F41" s="3"/>
      <c r="G41" s="3"/>
      <c r="H41" s="3"/>
      <c r="I41" s="3"/>
      <c r="J41" s="3"/>
    </row>
    <row r="42" ht="15.75" customHeight="1">
      <c r="A42" s="3"/>
      <c r="B42" s="3"/>
      <c r="C42" s="3"/>
      <c r="D42" s="3"/>
      <c r="E42" s="3"/>
      <c r="F42" s="3"/>
      <c r="G42" s="3"/>
      <c r="H42" s="3"/>
      <c r="I42" s="3"/>
      <c r="J42" s="3"/>
    </row>
    <row r="43" ht="15.75" customHeight="1">
      <c r="A43" s="3"/>
      <c r="B43" s="3"/>
      <c r="C43" s="3"/>
      <c r="D43" s="3"/>
      <c r="E43" s="3"/>
      <c r="F43" s="3"/>
      <c r="G43" s="3"/>
      <c r="H43" s="3"/>
      <c r="I43" s="3"/>
      <c r="J43" s="3"/>
    </row>
    <row r="44" ht="15.75" customHeight="1">
      <c r="A44" s="3"/>
      <c r="B44" s="3"/>
      <c r="C44" s="3"/>
      <c r="D44" s="3"/>
      <c r="E44" s="3"/>
      <c r="F44" s="3"/>
      <c r="G44" s="3"/>
      <c r="H44" s="3"/>
      <c r="I44" s="3"/>
      <c r="J44" s="3"/>
    </row>
    <row r="45" ht="15.75" customHeight="1">
      <c r="A45" s="3"/>
      <c r="B45" s="3"/>
      <c r="C45" s="3"/>
      <c r="D45" s="3"/>
      <c r="E45" s="3"/>
      <c r="F45" s="3"/>
      <c r="G45" s="3"/>
      <c r="H45" s="3"/>
      <c r="I45" s="3"/>
      <c r="J45" s="3"/>
    </row>
    <row r="46" ht="15.75" customHeight="1">
      <c r="A46" s="3"/>
      <c r="B46" s="3"/>
      <c r="C46" s="3"/>
      <c r="D46" s="3"/>
      <c r="E46" s="3"/>
      <c r="F46" s="3"/>
      <c r="G46" s="3"/>
      <c r="H46" s="3"/>
      <c r="I46" s="3"/>
      <c r="J46" s="3"/>
    </row>
    <row r="47" ht="15.75" customHeight="1">
      <c r="A47" s="3"/>
      <c r="B47" s="3"/>
      <c r="C47" s="3"/>
      <c r="D47" s="3"/>
      <c r="E47" s="3"/>
      <c r="F47" s="3"/>
      <c r="G47" s="3"/>
      <c r="H47" s="3"/>
      <c r="I47" s="3"/>
      <c r="J47" s="3"/>
    </row>
    <row r="48" ht="15.75" customHeight="1">
      <c r="A48" s="3"/>
      <c r="B48" s="3"/>
      <c r="C48" s="3"/>
      <c r="D48" s="3"/>
      <c r="E48" s="3"/>
      <c r="F48" s="3"/>
      <c r="G48" s="3"/>
      <c r="H48" s="3"/>
      <c r="I48" s="3"/>
      <c r="J48" s="3"/>
    </row>
    <row r="49" ht="15.75" customHeight="1">
      <c r="A49" s="3"/>
      <c r="B49" s="3"/>
      <c r="C49" s="3"/>
      <c r="D49" s="3"/>
      <c r="E49" s="3"/>
      <c r="F49" s="3"/>
      <c r="G49" s="3"/>
      <c r="H49" s="3"/>
      <c r="I49" s="3"/>
      <c r="J49" s="3"/>
    </row>
    <row r="50" ht="15.75" customHeight="1">
      <c r="A50" s="3"/>
      <c r="B50" s="3"/>
      <c r="C50" s="3"/>
      <c r="D50" s="3"/>
      <c r="E50" s="3"/>
      <c r="F50" s="3"/>
      <c r="G50" s="3"/>
      <c r="H50" s="3"/>
      <c r="I50" s="3"/>
      <c r="J50" s="3"/>
    </row>
    <row r="51" ht="15.75" customHeight="1">
      <c r="A51" s="3"/>
      <c r="B51" s="3"/>
      <c r="C51" s="3"/>
      <c r="D51" s="3"/>
      <c r="E51" s="3"/>
      <c r="F51" s="3"/>
      <c r="G51" s="3"/>
      <c r="H51" s="3"/>
      <c r="I51" s="3"/>
      <c r="J51" s="3"/>
    </row>
    <row r="52" ht="15.75" customHeight="1">
      <c r="A52" s="3"/>
      <c r="B52" s="3"/>
      <c r="C52" s="3"/>
      <c r="D52" s="3"/>
      <c r="E52" s="3"/>
      <c r="F52" s="3"/>
      <c r="G52" s="3"/>
      <c r="H52" s="3"/>
      <c r="I52" s="3"/>
      <c r="J52" s="3"/>
    </row>
    <row r="53" ht="15.75" customHeight="1">
      <c r="A53" s="3"/>
      <c r="B53" s="3"/>
      <c r="C53" s="3"/>
      <c r="D53" s="3"/>
      <c r="E53" s="3"/>
      <c r="F53" s="3"/>
      <c r="G53" s="3"/>
      <c r="H53" s="3"/>
      <c r="I53" s="3"/>
      <c r="J53" s="3"/>
    </row>
    <row r="54" ht="15.75" customHeight="1">
      <c r="A54" s="3"/>
      <c r="B54" s="3"/>
      <c r="C54" s="3"/>
      <c r="D54" s="3"/>
      <c r="E54" s="3"/>
      <c r="F54" s="3"/>
      <c r="G54" s="3"/>
      <c r="H54" s="3"/>
      <c r="I54" s="3"/>
      <c r="J54" s="3"/>
    </row>
    <row r="55" ht="15.75" customHeight="1">
      <c r="A55" s="3"/>
      <c r="B55" s="3"/>
      <c r="C55" s="3"/>
      <c r="D55" s="3"/>
      <c r="E55" s="3"/>
      <c r="F55" s="3"/>
      <c r="G55" s="3"/>
      <c r="H55" s="3"/>
      <c r="I55" s="3"/>
      <c r="J55" s="3"/>
    </row>
    <row r="56" ht="15.75" customHeight="1">
      <c r="A56" s="3"/>
      <c r="B56" s="3"/>
      <c r="C56" s="3"/>
      <c r="D56" s="3"/>
      <c r="E56" s="3"/>
      <c r="F56" s="3"/>
      <c r="G56" s="3"/>
      <c r="H56" s="3"/>
      <c r="I56" s="3"/>
      <c r="J56" s="3"/>
    </row>
    <row r="57" ht="15.75" customHeight="1">
      <c r="A57" s="3"/>
      <c r="B57" s="3"/>
      <c r="C57" s="3"/>
      <c r="D57" s="3"/>
      <c r="E57" s="3"/>
      <c r="F57" s="3"/>
      <c r="G57" s="3"/>
      <c r="H57" s="3"/>
      <c r="I57" s="3"/>
      <c r="J57" s="3"/>
    </row>
    <row r="58" ht="15.75" customHeight="1">
      <c r="A58" s="3"/>
      <c r="B58" s="3"/>
      <c r="C58" s="3"/>
      <c r="D58" s="3"/>
      <c r="E58" s="3"/>
      <c r="F58" s="3"/>
      <c r="G58" s="3"/>
      <c r="H58" s="3"/>
      <c r="I58" s="3"/>
      <c r="J58" s="3"/>
    </row>
    <row r="59" ht="15.75" customHeight="1">
      <c r="A59" s="3"/>
      <c r="B59" s="3"/>
      <c r="C59" s="3"/>
      <c r="D59" s="3"/>
      <c r="E59" s="3"/>
      <c r="F59" s="3"/>
      <c r="G59" s="3"/>
      <c r="H59" s="3"/>
      <c r="I59" s="3"/>
      <c r="J59" s="3"/>
    </row>
    <row r="60" ht="15.75" customHeight="1">
      <c r="A60" s="3"/>
      <c r="B60" s="3"/>
      <c r="C60" s="3"/>
      <c r="D60" s="3"/>
      <c r="E60" s="3"/>
      <c r="F60" s="3"/>
      <c r="G60" s="3"/>
      <c r="H60" s="3"/>
      <c r="I60" s="3"/>
      <c r="J60" s="3"/>
    </row>
    <row r="61" ht="15.75" customHeight="1">
      <c r="A61" s="3"/>
      <c r="B61" s="3"/>
      <c r="C61" s="3"/>
      <c r="D61" s="3"/>
      <c r="E61" s="3"/>
      <c r="F61" s="3"/>
      <c r="G61" s="3"/>
      <c r="H61" s="3"/>
      <c r="I61" s="3"/>
      <c r="J61" s="3"/>
    </row>
    <row r="62" ht="15.75" customHeight="1">
      <c r="A62" s="3"/>
      <c r="B62" s="3"/>
      <c r="C62" s="3"/>
      <c r="D62" s="3"/>
      <c r="E62" s="3"/>
      <c r="F62" s="3"/>
      <c r="G62" s="3"/>
      <c r="H62" s="3"/>
      <c r="I62" s="3"/>
      <c r="J62" s="3"/>
    </row>
    <row r="63" ht="15.75" customHeight="1">
      <c r="A63" s="3"/>
      <c r="B63" s="3"/>
      <c r="C63" s="3"/>
      <c r="D63" s="3"/>
      <c r="E63" s="3"/>
      <c r="F63" s="3"/>
      <c r="G63" s="3"/>
      <c r="H63" s="3"/>
      <c r="I63" s="3"/>
      <c r="J63" s="3"/>
    </row>
    <row r="64" ht="15.75" customHeight="1">
      <c r="A64" s="3"/>
      <c r="B64" s="3"/>
      <c r="C64" s="3"/>
      <c r="D64" s="3"/>
      <c r="E64" s="3"/>
      <c r="F64" s="3"/>
      <c r="G64" s="3"/>
      <c r="H64" s="3"/>
      <c r="I64" s="3"/>
      <c r="J64" s="3"/>
    </row>
    <row r="65" ht="15.75" customHeight="1">
      <c r="A65" s="3"/>
      <c r="B65" s="3"/>
      <c r="C65" s="3"/>
      <c r="D65" s="3"/>
      <c r="E65" s="3"/>
      <c r="F65" s="3"/>
      <c r="G65" s="3"/>
      <c r="H65" s="3"/>
      <c r="I65" s="3"/>
      <c r="J65" s="3"/>
    </row>
    <row r="66" ht="15.75" customHeight="1">
      <c r="A66" s="3"/>
      <c r="B66" s="3"/>
      <c r="C66" s="3"/>
      <c r="D66" s="3"/>
      <c r="E66" s="3"/>
      <c r="F66" s="3"/>
      <c r="G66" s="3"/>
      <c r="H66" s="3"/>
      <c r="I66" s="3"/>
      <c r="J66" s="3"/>
    </row>
    <row r="67" ht="15.75" customHeight="1">
      <c r="A67" s="3"/>
      <c r="B67" s="3"/>
      <c r="C67" s="3"/>
      <c r="D67" s="3"/>
      <c r="E67" s="3"/>
      <c r="F67" s="3"/>
      <c r="G67" s="3"/>
      <c r="H67" s="3"/>
      <c r="I67" s="3"/>
      <c r="J67" s="3"/>
    </row>
    <row r="68" ht="15.75" customHeight="1">
      <c r="A68" s="3"/>
      <c r="B68" s="3"/>
      <c r="C68" s="3"/>
      <c r="D68" s="3"/>
      <c r="E68" s="3"/>
      <c r="F68" s="3"/>
      <c r="G68" s="3"/>
      <c r="H68" s="3"/>
      <c r="I68" s="3"/>
      <c r="J68" s="3"/>
    </row>
    <row r="69" ht="15.75" customHeight="1">
      <c r="A69" s="3"/>
      <c r="B69" s="3"/>
      <c r="C69" s="3"/>
      <c r="D69" s="3"/>
      <c r="E69" s="3"/>
      <c r="F69" s="3"/>
      <c r="G69" s="3"/>
      <c r="H69" s="3"/>
      <c r="I69" s="3"/>
      <c r="J69" s="3"/>
    </row>
    <row r="70" ht="15.75" customHeight="1">
      <c r="A70" s="3"/>
      <c r="B70" s="3"/>
      <c r="C70" s="3"/>
      <c r="D70" s="3"/>
      <c r="E70" s="3"/>
      <c r="F70" s="3"/>
      <c r="G70" s="3"/>
      <c r="H70" s="3"/>
      <c r="I70" s="3"/>
      <c r="J70" s="3"/>
    </row>
    <row r="71" ht="15.75" customHeight="1">
      <c r="A71" s="3"/>
      <c r="B71" s="3"/>
      <c r="C71" s="3"/>
      <c r="D71" s="3"/>
      <c r="E71" s="3"/>
      <c r="F71" s="3"/>
      <c r="G71" s="3"/>
      <c r="H71" s="3"/>
      <c r="I71" s="3"/>
      <c r="J71" s="3"/>
    </row>
    <row r="72" ht="15.75" customHeight="1">
      <c r="A72" s="3"/>
      <c r="B72" s="3"/>
      <c r="C72" s="3"/>
      <c r="D72" s="3"/>
      <c r="E72" s="3"/>
      <c r="F72" s="3"/>
      <c r="G72" s="3"/>
      <c r="H72" s="3"/>
      <c r="I72" s="3"/>
      <c r="J72" s="3"/>
    </row>
    <row r="73" ht="15.75" customHeight="1">
      <c r="A73" s="3"/>
      <c r="B73" s="3"/>
      <c r="C73" s="3"/>
      <c r="D73" s="3"/>
      <c r="E73" s="3"/>
      <c r="F73" s="3"/>
      <c r="G73" s="3"/>
      <c r="H73" s="3"/>
      <c r="I73" s="3"/>
      <c r="J73" s="3"/>
    </row>
    <row r="74" ht="15.75" customHeight="1">
      <c r="A74" s="3"/>
      <c r="B74" s="3"/>
      <c r="C74" s="3"/>
      <c r="D74" s="3"/>
      <c r="E74" s="3"/>
      <c r="F74" s="3"/>
      <c r="G74" s="3"/>
      <c r="H74" s="3"/>
      <c r="I74" s="3"/>
      <c r="J74" s="3"/>
    </row>
    <row r="75" ht="15.75" customHeight="1">
      <c r="A75" s="3"/>
      <c r="B75" s="3"/>
      <c r="C75" s="3"/>
      <c r="D75" s="3"/>
      <c r="E75" s="3"/>
      <c r="F75" s="3"/>
      <c r="G75" s="3"/>
      <c r="H75" s="3"/>
      <c r="I75" s="3"/>
      <c r="J75" s="3"/>
    </row>
    <row r="76" ht="15.75" customHeight="1">
      <c r="A76" s="3"/>
      <c r="B76" s="3"/>
      <c r="C76" s="3"/>
      <c r="D76" s="3"/>
      <c r="E76" s="3"/>
      <c r="F76" s="3"/>
      <c r="G76" s="3"/>
      <c r="H76" s="3"/>
      <c r="I76" s="3"/>
      <c r="J76" s="3"/>
    </row>
    <row r="77" ht="15.75" customHeight="1">
      <c r="A77" s="3"/>
      <c r="B77" s="3"/>
      <c r="C77" s="3"/>
      <c r="D77" s="3"/>
      <c r="E77" s="3"/>
      <c r="F77" s="3"/>
      <c r="G77" s="3"/>
      <c r="H77" s="3"/>
      <c r="I77" s="3"/>
      <c r="J77" s="3"/>
    </row>
    <row r="78" ht="15.75" customHeight="1">
      <c r="A78" s="3"/>
      <c r="B78" s="3"/>
      <c r="C78" s="3"/>
      <c r="D78" s="3"/>
      <c r="E78" s="3"/>
      <c r="F78" s="3"/>
      <c r="G78" s="3"/>
      <c r="H78" s="3"/>
      <c r="I78" s="3"/>
      <c r="J78" s="3"/>
    </row>
    <row r="79" ht="15.75" customHeight="1">
      <c r="A79" s="3"/>
      <c r="B79" s="3"/>
      <c r="C79" s="3"/>
      <c r="D79" s="3"/>
      <c r="E79" s="3"/>
      <c r="F79" s="3"/>
      <c r="G79" s="3"/>
      <c r="H79" s="3"/>
      <c r="I79" s="3"/>
      <c r="J79" s="3"/>
    </row>
    <row r="80" ht="15.75" customHeight="1">
      <c r="A80" s="3"/>
      <c r="B80" s="3"/>
      <c r="C80" s="3"/>
      <c r="D80" s="3"/>
      <c r="E80" s="3"/>
      <c r="F80" s="3"/>
      <c r="G80" s="3"/>
      <c r="H80" s="3"/>
      <c r="I80" s="3"/>
      <c r="J80" s="3"/>
    </row>
    <row r="81" ht="15.75" customHeight="1">
      <c r="A81" s="3"/>
      <c r="B81" s="3"/>
      <c r="C81" s="3"/>
      <c r="D81" s="3"/>
      <c r="E81" s="3"/>
      <c r="F81" s="3"/>
      <c r="G81" s="3"/>
      <c r="H81" s="3"/>
      <c r="I81" s="3"/>
      <c r="J81" s="3"/>
    </row>
    <row r="82" ht="15.75" customHeight="1">
      <c r="A82" s="3"/>
      <c r="B82" s="3"/>
      <c r="C82" s="3"/>
      <c r="D82" s="3"/>
      <c r="E82" s="3"/>
      <c r="F82" s="3"/>
      <c r="G82" s="3"/>
      <c r="H82" s="3"/>
      <c r="I82" s="3"/>
      <c r="J82" s="3"/>
    </row>
    <row r="83" ht="15.75" customHeight="1">
      <c r="A83" s="3"/>
      <c r="B83" s="3"/>
      <c r="C83" s="3"/>
      <c r="D83" s="3"/>
      <c r="E83" s="3"/>
      <c r="F83" s="3"/>
      <c r="G83" s="3"/>
      <c r="H83" s="3"/>
      <c r="I83" s="3"/>
      <c r="J83" s="3"/>
    </row>
    <row r="84" ht="15.75" customHeight="1">
      <c r="A84" s="3"/>
      <c r="B84" s="3"/>
      <c r="C84" s="3"/>
      <c r="D84" s="3"/>
      <c r="E84" s="3"/>
      <c r="F84" s="3"/>
      <c r="G84" s="3"/>
      <c r="H84" s="3"/>
      <c r="I84" s="3"/>
      <c r="J84" s="3"/>
    </row>
    <row r="85" ht="15.75" customHeight="1">
      <c r="A85" s="3"/>
      <c r="B85" s="3"/>
      <c r="C85" s="3"/>
      <c r="D85" s="3"/>
      <c r="E85" s="3"/>
      <c r="F85" s="3"/>
      <c r="G85" s="3"/>
      <c r="H85" s="3"/>
      <c r="I85" s="3"/>
      <c r="J85" s="3"/>
    </row>
    <row r="86" ht="15.75" customHeight="1">
      <c r="A86" s="3"/>
      <c r="B86" s="3"/>
      <c r="C86" s="3"/>
      <c r="D86" s="3"/>
      <c r="E86" s="3"/>
      <c r="F86" s="3"/>
      <c r="G86" s="3"/>
      <c r="H86" s="3"/>
      <c r="I86" s="3"/>
      <c r="J86" s="3"/>
    </row>
    <row r="87" ht="15.75" customHeight="1">
      <c r="A87" s="3"/>
      <c r="B87" s="3"/>
      <c r="C87" s="3"/>
      <c r="D87" s="3"/>
      <c r="E87" s="3"/>
      <c r="F87" s="3"/>
      <c r="G87" s="3"/>
      <c r="H87" s="3"/>
      <c r="I87" s="3"/>
      <c r="J87" s="3"/>
    </row>
    <row r="88" ht="15.75" customHeight="1">
      <c r="A88" s="3"/>
      <c r="B88" s="3"/>
      <c r="C88" s="3"/>
      <c r="D88" s="3"/>
      <c r="E88" s="3"/>
      <c r="F88" s="3"/>
      <c r="G88" s="3"/>
      <c r="H88" s="3"/>
      <c r="I88" s="3"/>
      <c r="J88" s="3"/>
    </row>
    <row r="89" ht="15.75" customHeight="1">
      <c r="A89" s="3"/>
      <c r="B89" s="3"/>
      <c r="C89" s="3"/>
      <c r="D89" s="3"/>
      <c r="E89" s="3"/>
      <c r="F89" s="3"/>
      <c r="G89" s="3"/>
      <c r="H89" s="3"/>
      <c r="I89" s="3"/>
      <c r="J89" s="3"/>
    </row>
    <row r="90" ht="15.75" customHeight="1">
      <c r="A90" s="3"/>
      <c r="B90" s="3"/>
      <c r="C90" s="3"/>
      <c r="D90" s="3"/>
      <c r="E90" s="3"/>
      <c r="F90" s="3"/>
      <c r="G90" s="3"/>
      <c r="H90" s="3"/>
      <c r="I90" s="3"/>
      <c r="J90" s="3"/>
    </row>
    <row r="91" ht="15.75" customHeight="1">
      <c r="A91" s="3"/>
      <c r="B91" s="3"/>
      <c r="C91" s="3"/>
      <c r="D91" s="3"/>
      <c r="E91" s="3"/>
      <c r="F91" s="3"/>
      <c r="G91" s="3"/>
      <c r="H91" s="3"/>
      <c r="I91" s="3"/>
      <c r="J91" s="3"/>
    </row>
    <row r="92" ht="15.75" customHeight="1">
      <c r="A92" s="3"/>
      <c r="B92" s="3"/>
      <c r="C92" s="3"/>
      <c r="D92" s="3"/>
      <c r="E92" s="3"/>
      <c r="F92" s="3"/>
      <c r="G92" s="3"/>
      <c r="H92" s="3"/>
      <c r="I92" s="3"/>
      <c r="J92" s="3"/>
    </row>
    <row r="93" ht="15.75" customHeight="1">
      <c r="A93" s="3"/>
      <c r="B93" s="3"/>
      <c r="C93" s="3"/>
      <c r="D93" s="3"/>
      <c r="E93" s="3"/>
      <c r="F93" s="3"/>
      <c r="G93" s="3"/>
      <c r="H93" s="3"/>
      <c r="I93" s="3"/>
      <c r="J93" s="3"/>
    </row>
    <row r="94" ht="15.75" customHeight="1">
      <c r="A94" s="3"/>
      <c r="B94" s="3"/>
      <c r="C94" s="3"/>
      <c r="D94" s="3"/>
      <c r="E94" s="3"/>
      <c r="F94" s="3"/>
      <c r="G94" s="3"/>
      <c r="H94" s="3"/>
      <c r="I94" s="3"/>
      <c r="J94" s="3"/>
    </row>
    <row r="95" ht="15.75" customHeight="1">
      <c r="A95" s="3"/>
      <c r="B95" s="3"/>
      <c r="C95" s="3"/>
      <c r="D95" s="3"/>
      <c r="E95" s="3"/>
      <c r="F95" s="3"/>
      <c r="G95" s="3"/>
      <c r="H95" s="3"/>
      <c r="I95" s="3"/>
      <c r="J95" s="3"/>
    </row>
    <row r="96" ht="15.75" customHeight="1">
      <c r="A96" s="3"/>
      <c r="B96" s="3"/>
      <c r="C96" s="3"/>
      <c r="D96" s="3"/>
      <c r="E96" s="3"/>
      <c r="F96" s="3"/>
      <c r="G96" s="3"/>
      <c r="H96" s="3"/>
      <c r="I96" s="3"/>
      <c r="J96" s="3"/>
    </row>
    <row r="97" ht="15.75" customHeight="1">
      <c r="A97" s="3"/>
      <c r="B97" s="3"/>
      <c r="C97" s="3"/>
      <c r="D97" s="3"/>
      <c r="E97" s="3"/>
      <c r="F97" s="3"/>
      <c r="G97" s="3"/>
      <c r="H97" s="3"/>
      <c r="I97" s="3"/>
      <c r="J97" s="3"/>
    </row>
    <row r="98" ht="15.75" customHeight="1">
      <c r="A98" s="3"/>
      <c r="B98" s="3"/>
      <c r="C98" s="3"/>
      <c r="D98" s="3"/>
      <c r="E98" s="3"/>
      <c r="F98" s="3"/>
      <c r="G98" s="3"/>
      <c r="H98" s="3"/>
      <c r="I98" s="3"/>
      <c r="J98" s="3"/>
    </row>
    <row r="99" ht="15.75" customHeight="1">
      <c r="A99" s="3"/>
      <c r="B99" s="3"/>
      <c r="C99" s="3"/>
      <c r="D99" s="3"/>
      <c r="E99" s="3"/>
      <c r="F99" s="3"/>
      <c r="G99" s="3"/>
      <c r="H99" s="3"/>
      <c r="I99" s="3"/>
      <c r="J99" s="3"/>
    </row>
    <row r="100" ht="15.75" customHeight="1">
      <c r="A100" s="3"/>
      <c r="B100" s="3"/>
      <c r="C100" s="3"/>
      <c r="D100" s="3"/>
      <c r="E100" s="3"/>
      <c r="F100" s="3"/>
      <c r="G100" s="3"/>
      <c r="H100" s="3"/>
      <c r="I100" s="3"/>
      <c r="J100" s="3"/>
    </row>
    <row r="101" ht="15.75" customHeight="1">
      <c r="A101" s="3"/>
      <c r="B101" s="3"/>
      <c r="C101" s="3"/>
      <c r="D101" s="3"/>
      <c r="E101" s="3"/>
      <c r="F101" s="3"/>
      <c r="G101" s="3"/>
      <c r="H101" s="3"/>
      <c r="I101" s="3"/>
      <c r="J101" s="3"/>
    </row>
    <row r="102" ht="15.75" customHeight="1">
      <c r="A102" s="3"/>
      <c r="B102" s="3"/>
      <c r="C102" s="3"/>
      <c r="D102" s="3"/>
      <c r="E102" s="3"/>
      <c r="F102" s="3"/>
      <c r="G102" s="3"/>
      <c r="H102" s="3"/>
      <c r="I102" s="3"/>
      <c r="J102" s="3"/>
    </row>
    <row r="103" ht="15.75" customHeight="1">
      <c r="A103" s="3"/>
      <c r="B103" s="3"/>
      <c r="C103" s="3"/>
      <c r="D103" s="3"/>
      <c r="E103" s="3"/>
      <c r="F103" s="3"/>
      <c r="G103" s="3"/>
      <c r="H103" s="3"/>
      <c r="I103" s="3"/>
      <c r="J103" s="3"/>
    </row>
    <row r="104" ht="15.75" customHeight="1">
      <c r="A104" s="3"/>
      <c r="B104" s="3"/>
      <c r="C104" s="3"/>
      <c r="D104" s="3"/>
      <c r="E104" s="3"/>
      <c r="F104" s="3"/>
      <c r="G104" s="3"/>
      <c r="H104" s="3"/>
      <c r="I104" s="3"/>
      <c r="J104" s="3"/>
    </row>
    <row r="105" ht="15.75" customHeight="1">
      <c r="A105" s="3"/>
      <c r="B105" s="3"/>
      <c r="C105" s="3"/>
      <c r="D105" s="3"/>
      <c r="E105" s="3"/>
      <c r="F105" s="3"/>
      <c r="G105" s="3"/>
      <c r="H105" s="3"/>
      <c r="I105" s="3"/>
      <c r="J105" s="3"/>
    </row>
    <row r="106" ht="15.75" customHeight="1">
      <c r="A106" s="3"/>
      <c r="B106" s="3"/>
      <c r="C106" s="3"/>
      <c r="D106" s="3"/>
      <c r="E106" s="3"/>
      <c r="F106" s="3"/>
      <c r="G106" s="3"/>
      <c r="H106" s="3"/>
      <c r="I106" s="3"/>
      <c r="J106" s="3"/>
    </row>
    <row r="107" ht="15.75" customHeight="1">
      <c r="A107" s="3"/>
      <c r="B107" s="3"/>
      <c r="C107" s="3"/>
      <c r="D107" s="3"/>
      <c r="E107" s="3"/>
      <c r="F107" s="3"/>
      <c r="G107" s="3"/>
      <c r="H107" s="3"/>
      <c r="I107" s="3"/>
      <c r="J107" s="3"/>
    </row>
    <row r="108" ht="15.75" customHeight="1">
      <c r="A108" s="3"/>
      <c r="B108" s="3"/>
      <c r="C108" s="3"/>
      <c r="D108" s="3"/>
      <c r="E108" s="3"/>
      <c r="F108" s="3"/>
      <c r="G108" s="3"/>
      <c r="H108" s="3"/>
      <c r="I108" s="3"/>
      <c r="J108" s="3"/>
    </row>
    <row r="109" ht="15.75" customHeight="1">
      <c r="A109" s="3"/>
      <c r="B109" s="3"/>
      <c r="C109" s="3"/>
      <c r="D109" s="3"/>
      <c r="E109" s="3"/>
      <c r="F109" s="3"/>
      <c r="G109" s="3"/>
      <c r="H109" s="3"/>
      <c r="I109" s="3"/>
      <c r="J109" s="3"/>
    </row>
    <row r="110" ht="15.75" customHeight="1">
      <c r="A110" s="3"/>
      <c r="B110" s="3"/>
      <c r="C110" s="3"/>
      <c r="D110" s="3"/>
      <c r="E110" s="3"/>
      <c r="F110" s="3"/>
      <c r="G110" s="3"/>
      <c r="H110" s="3"/>
      <c r="I110" s="3"/>
      <c r="J110" s="3"/>
    </row>
    <row r="111" ht="15.75" customHeight="1">
      <c r="A111" s="3"/>
      <c r="B111" s="3"/>
      <c r="C111" s="3"/>
      <c r="D111" s="3"/>
      <c r="E111" s="3"/>
      <c r="F111" s="3"/>
      <c r="G111" s="3"/>
      <c r="H111" s="3"/>
      <c r="I111" s="3"/>
      <c r="J111" s="3"/>
    </row>
    <row r="112" ht="15.75" customHeight="1">
      <c r="A112" s="3"/>
      <c r="B112" s="3"/>
      <c r="C112" s="3"/>
      <c r="D112" s="3"/>
      <c r="E112" s="3"/>
      <c r="F112" s="3"/>
      <c r="G112" s="3"/>
      <c r="H112" s="3"/>
      <c r="I112" s="3"/>
      <c r="J112" s="3"/>
    </row>
    <row r="113" ht="15.75" customHeight="1">
      <c r="A113" s="3"/>
      <c r="B113" s="3"/>
      <c r="C113" s="3"/>
      <c r="D113" s="3"/>
      <c r="E113" s="3"/>
      <c r="F113" s="3"/>
      <c r="G113" s="3"/>
      <c r="H113" s="3"/>
      <c r="I113" s="3"/>
      <c r="J113" s="3"/>
    </row>
    <row r="114" ht="15.75" customHeight="1">
      <c r="A114" s="3"/>
      <c r="B114" s="3"/>
      <c r="C114" s="3"/>
      <c r="D114" s="3"/>
      <c r="E114" s="3"/>
      <c r="F114" s="3"/>
      <c r="G114" s="3"/>
      <c r="H114" s="3"/>
      <c r="I114" s="3"/>
      <c r="J114" s="3"/>
    </row>
    <row r="115" ht="15.75" customHeight="1">
      <c r="A115" s="3"/>
      <c r="B115" s="3"/>
      <c r="C115" s="3"/>
      <c r="D115" s="3"/>
      <c r="E115" s="3"/>
      <c r="F115" s="3"/>
      <c r="G115" s="3"/>
      <c r="H115" s="3"/>
      <c r="I115" s="3"/>
      <c r="J115" s="3"/>
    </row>
    <row r="116" ht="15.75" customHeight="1">
      <c r="A116" s="3"/>
      <c r="B116" s="3"/>
      <c r="C116" s="3"/>
      <c r="D116" s="3"/>
      <c r="E116" s="3"/>
      <c r="F116" s="3"/>
      <c r="G116" s="3"/>
      <c r="H116" s="3"/>
      <c r="I116" s="3"/>
      <c r="J116" s="3"/>
    </row>
    <row r="117" ht="15.75" customHeight="1">
      <c r="A117" s="3"/>
      <c r="B117" s="3"/>
      <c r="C117" s="3"/>
      <c r="D117" s="3"/>
      <c r="E117" s="3"/>
      <c r="F117" s="3"/>
      <c r="G117" s="3"/>
      <c r="H117" s="3"/>
      <c r="I117" s="3"/>
      <c r="J117" s="3"/>
    </row>
    <row r="118" ht="15.75" customHeight="1">
      <c r="A118" s="3"/>
      <c r="B118" s="3"/>
      <c r="C118" s="3"/>
      <c r="D118" s="3"/>
      <c r="E118" s="3"/>
      <c r="F118" s="3"/>
      <c r="G118" s="3"/>
      <c r="H118" s="3"/>
      <c r="I118" s="3"/>
      <c r="J118" s="3"/>
    </row>
    <row r="119" ht="15.75" customHeight="1">
      <c r="A119" s="3"/>
      <c r="B119" s="3"/>
      <c r="C119" s="3"/>
      <c r="D119" s="3"/>
      <c r="E119" s="3"/>
      <c r="F119" s="3"/>
      <c r="G119" s="3"/>
      <c r="H119" s="3"/>
      <c r="I119" s="3"/>
      <c r="J119" s="3"/>
    </row>
    <row r="120" ht="15.75" customHeight="1">
      <c r="A120" s="3"/>
      <c r="B120" s="3"/>
      <c r="C120" s="3"/>
      <c r="D120" s="3"/>
      <c r="E120" s="3"/>
      <c r="F120" s="3"/>
      <c r="G120" s="3"/>
      <c r="H120" s="3"/>
      <c r="I120" s="3"/>
      <c r="J120" s="3"/>
    </row>
    <row r="121" ht="15.75" customHeight="1">
      <c r="A121" s="3"/>
      <c r="B121" s="3"/>
      <c r="C121" s="3"/>
      <c r="D121" s="3"/>
      <c r="E121" s="3"/>
      <c r="F121" s="3"/>
      <c r="G121" s="3"/>
      <c r="H121" s="3"/>
      <c r="I121" s="3"/>
      <c r="J121" s="3"/>
    </row>
    <row r="122" ht="15.75" customHeight="1">
      <c r="A122" s="3"/>
      <c r="B122" s="3"/>
      <c r="C122" s="3"/>
      <c r="D122" s="3"/>
      <c r="E122" s="3"/>
      <c r="F122" s="3"/>
      <c r="G122" s="3"/>
      <c r="H122" s="3"/>
      <c r="I122" s="3"/>
      <c r="J122" s="3"/>
    </row>
    <row r="123" ht="15.75" customHeight="1">
      <c r="A123" s="3"/>
      <c r="B123" s="3"/>
      <c r="C123" s="3"/>
      <c r="D123" s="3"/>
      <c r="E123" s="3"/>
      <c r="F123" s="3"/>
      <c r="G123" s="3"/>
      <c r="H123" s="3"/>
      <c r="I123" s="3"/>
      <c r="J123" s="3"/>
    </row>
    <row r="124" ht="15.75" customHeight="1">
      <c r="A124" s="3"/>
      <c r="B124" s="3"/>
      <c r="C124" s="3"/>
      <c r="D124" s="3"/>
      <c r="E124" s="3"/>
      <c r="F124" s="3"/>
      <c r="G124" s="3"/>
      <c r="H124" s="3"/>
      <c r="I124" s="3"/>
      <c r="J124" s="3"/>
    </row>
    <row r="125" ht="15.75" customHeight="1">
      <c r="A125" s="3"/>
      <c r="B125" s="3"/>
      <c r="C125" s="3"/>
      <c r="D125" s="3"/>
      <c r="E125" s="3"/>
      <c r="F125" s="3"/>
      <c r="G125" s="3"/>
      <c r="H125" s="3"/>
      <c r="I125" s="3"/>
      <c r="J125" s="3"/>
    </row>
    <row r="126" ht="15.75" customHeight="1">
      <c r="A126" s="3"/>
      <c r="B126" s="3"/>
      <c r="C126" s="3"/>
      <c r="D126" s="3"/>
      <c r="E126" s="3"/>
      <c r="F126" s="3"/>
      <c r="G126" s="3"/>
      <c r="H126" s="3"/>
      <c r="I126" s="3"/>
      <c r="J126" s="3"/>
    </row>
    <row r="127" ht="15.75" customHeight="1">
      <c r="A127" s="3"/>
      <c r="B127" s="3"/>
      <c r="C127" s="3"/>
      <c r="D127" s="3"/>
      <c r="E127" s="3"/>
      <c r="F127" s="3"/>
      <c r="G127" s="3"/>
      <c r="H127" s="3"/>
      <c r="I127" s="3"/>
      <c r="J127" s="3"/>
    </row>
    <row r="128" ht="15.75" customHeight="1">
      <c r="A128" s="3"/>
      <c r="B128" s="3"/>
      <c r="C128" s="3"/>
      <c r="D128" s="3"/>
      <c r="E128" s="3"/>
      <c r="F128" s="3"/>
      <c r="G128" s="3"/>
      <c r="H128" s="3"/>
      <c r="I128" s="3"/>
      <c r="J128" s="3"/>
    </row>
    <row r="129" ht="15.75" customHeight="1">
      <c r="A129" s="3"/>
      <c r="B129" s="3"/>
      <c r="C129" s="3"/>
      <c r="D129" s="3"/>
      <c r="E129" s="3"/>
      <c r="F129" s="3"/>
      <c r="G129" s="3"/>
      <c r="H129" s="3"/>
      <c r="I129" s="3"/>
      <c r="J129" s="3"/>
    </row>
    <row r="130" ht="15.75" customHeight="1">
      <c r="A130" s="3"/>
      <c r="B130" s="3"/>
      <c r="C130" s="3"/>
      <c r="D130" s="3"/>
      <c r="E130" s="3"/>
      <c r="F130" s="3"/>
      <c r="G130" s="3"/>
      <c r="H130" s="3"/>
      <c r="I130" s="3"/>
      <c r="J130" s="3"/>
    </row>
    <row r="131" ht="15.75" customHeight="1">
      <c r="A131" s="3"/>
      <c r="B131" s="3"/>
      <c r="C131" s="3"/>
      <c r="D131" s="3"/>
      <c r="E131" s="3"/>
      <c r="F131" s="3"/>
      <c r="G131" s="3"/>
      <c r="H131" s="3"/>
      <c r="I131" s="3"/>
      <c r="J131" s="3"/>
    </row>
    <row r="132" ht="15.75" customHeight="1">
      <c r="A132" s="3"/>
      <c r="B132" s="3"/>
      <c r="C132" s="3"/>
      <c r="D132" s="3"/>
      <c r="E132" s="3"/>
      <c r="F132" s="3"/>
      <c r="G132" s="3"/>
      <c r="H132" s="3"/>
      <c r="I132" s="3"/>
      <c r="J132" s="3"/>
    </row>
    <row r="133" ht="15.75" customHeight="1">
      <c r="A133" s="3"/>
      <c r="B133" s="3"/>
      <c r="C133" s="3"/>
      <c r="D133" s="3"/>
      <c r="E133" s="3"/>
      <c r="F133" s="3"/>
      <c r="G133" s="3"/>
      <c r="H133" s="3"/>
      <c r="I133" s="3"/>
      <c r="J133" s="3"/>
    </row>
    <row r="134" ht="15.75" customHeight="1">
      <c r="A134" s="3"/>
      <c r="B134" s="3"/>
      <c r="C134" s="3"/>
      <c r="D134" s="3"/>
      <c r="E134" s="3"/>
      <c r="F134" s="3"/>
      <c r="G134" s="3"/>
      <c r="H134" s="3"/>
      <c r="I134" s="3"/>
      <c r="J134" s="3"/>
    </row>
    <row r="135" ht="15.75" customHeight="1">
      <c r="A135" s="3"/>
      <c r="B135" s="3"/>
      <c r="C135" s="3"/>
      <c r="D135" s="3"/>
      <c r="E135" s="3"/>
      <c r="F135" s="3"/>
      <c r="G135" s="3"/>
      <c r="H135" s="3"/>
      <c r="I135" s="3"/>
      <c r="J135" s="3"/>
    </row>
    <row r="136" ht="15.75" customHeight="1">
      <c r="A136" s="3"/>
      <c r="B136" s="3"/>
      <c r="C136" s="3"/>
      <c r="D136" s="3"/>
      <c r="E136" s="3"/>
      <c r="F136" s="3"/>
      <c r="G136" s="3"/>
      <c r="H136" s="3"/>
      <c r="I136" s="3"/>
      <c r="J136" s="3"/>
    </row>
    <row r="137" ht="15.75" customHeight="1">
      <c r="A137" s="3"/>
      <c r="B137" s="3"/>
      <c r="C137" s="3"/>
      <c r="D137" s="3"/>
      <c r="E137" s="3"/>
      <c r="F137" s="3"/>
      <c r="G137" s="3"/>
      <c r="H137" s="3"/>
      <c r="I137" s="3"/>
      <c r="J137" s="3"/>
    </row>
    <row r="138" ht="15.75" customHeight="1">
      <c r="A138" s="3"/>
      <c r="B138" s="3"/>
      <c r="C138" s="3"/>
      <c r="D138" s="3"/>
      <c r="E138" s="3"/>
      <c r="F138" s="3"/>
      <c r="G138" s="3"/>
      <c r="H138" s="3"/>
      <c r="I138" s="3"/>
      <c r="J138" s="3"/>
    </row>
    <row r="139" ht="15.75" customHeight="1">
      <c r="A139" s="3"/>
      <c r="B139" s="3"/>
      <c r="C139" s="3"/>
      <c r="D139" s="3"/>
      <c r="E139" s="3"/>
      <c r="F139" s="3"/>
      <c r="G139" s="3"/>
      <c r="H139" s="3"/>
      <c r="I139" s="3"/>
      <c r="J139" s="3"/>
    </row>
    <row r="140" ht="15.75" customHeight="1">
      <c r="A140" s="3"/>
      <c r="B140" s="3"/>
      <c r="C140" s="3"/>
      <c r="D140" s="3"/>
      <c r="E140" s="3"/>
      <c r="F140" s="3"/>
      <c r="G140" s="3"/>
      <c r="H140" s="3"/>
      <c r="I140" s="3"/>
      <c r="J140" s="3"/>
    </row>
    <row r="141" ht="15.75" customHeight="1">
      <c r="A141" s="3"/>
      <c r="B141" s="3"/>
      <c r="C141" s="3"/>
      <c r="D141" s="3"/>
      <c r="E141" s="3"/>
      <c r="F141" s="3"/>
      <c r="G141" s="3"/>
      <c r="H141" s="3"/>
      <c r="I141" s="3"/>
      <c r="J141" s="3"/>
    </row>
    <row r="142" ht="15.75" customHeight="1">
      <c r="A142" s="3"/>
      <c r="B142" s="3"/>
      <c r="C142" s="3"/>
      <c r="D142" s="3"/>
      <c r="E142" s="3"/>
      <c r="F142" s="3"/>
      <c r="G142" s="3"/>
      <c r="H142" s="3"/>
      <c r="I142" s="3"/>
      <c r="J142" s="3"/>
    </row>
    <row r="143" ht="15.75" customHeight="1">
      <c r="A143" s="3"/>
      <c r="B143" s="3"/>
      <c r="C143" s="3"/>
      <c r="D143" s="3"/>
      <c r="E143" s="3"/>
      <c r="F143" s="3"/>
      <c r="G143" s="3"/>
      <c r="H143" s="3"/>
      <c r="I143" s="3"/>
      <c r="J143" s="3"/>
    </row>
    <row r="144" ht="15.75" customHeight="1">
      <c r="A144" s="3"/>
      <c r="B144" s="3"/>
      <c r="C144" s="3"/>
      <c r="D144" s="3"/>
      <c r="E144" s="3"/>
      <c r="F144" s="3"/>
      <c r="G144" s="3"/>
      <c r="H144" s="3"/>
      <c r="I144" s="3"/>
      <c r="J144" s="3"/>
    </row>
    <row r="145" ht="15.75" customHeight="1">
      <c r="A145" s="3"/>
      <c r="B145" s="3"/>
      <c r="C145" s="3"/>
      <c r="D145" s="3"/>
      <c r="E145" s="3"/>
      <c r="F145" s="3"/>
      <c r="G145" s="3"/>
      <c r="H145" s="3"/>
      <c r="I145" s="3"/>
      <c r="J145" s="3"/>
    </row>
    <row r="146" ht="15.75" customHeight="1">
      <c r="A146" s="3"/>
      <c r="B146" s="3"/>
      <c r="C146" s="3"/>
      <c r="D146" s="3"/>
      <c r="E146" s="3"/>
      <c r="F146" s="3"/>
      <c r="G146" s="3"/>
      <c r="H146" s="3"/>
      <c r="I146" s="3"/>
      <c r="J146" s="3"/>
    </row>
    <row r="147" ht="15.75" customHeight="1">
      <c r="A147" s="3"/>
      <c r="B147" s="3"/>
      <c r="C147" s="3"/>
      <c r="D147" s="3"/>
      <c r="E147" s="3"/>
      <c r="F147" s="3"/>
      <c r="G147" s="3"/>
      <c r="H147" s="3"/>
      <c r="I147" s="3"/>
      <c r="J147" s="3"/>
    </row>
    <row r="148" ht="15.75" customHeight="1">
      <c r="A148" s="3"/>
      <c r="B148" s="3"/>
      <c r="C148" s="3"/>
      <c r="D148" s="3"/>
      <c r="E148" s="3"/>
      <c r="F148" s="3"/>
      <c r="G148" s="3"/>
      <c r="H148" s="3"/>
      <c r="I148" s="3"/>
      <c r="J148" s="3"/>
    </row>
    <row r="149" ht="15.75" customHeight="1">
      <c r="A149" s="3"/>
      <c r="B149" s="3"/>
      <c r="C149" s="3"/>
      <c r="D149" s="3"/>
      <c r="E149" s="3"/>
      <c r="F149" s="3"/>
      <c r="G149" s="3"/>
      <c r="H149" s="3"/>
      <c r="I149" s="3"/>
      <c r="J149" s="3"/>
    </row>
    <row r="150" ht="15.75" customHeight="1">
      <c r="A150" s="3"/>
      <c r="B150" s="3"/>
      <c r="C150" s="3"/>
      <c r="D150" s="3"/>
      <c r="E150" s="3"/>
      <c r="F150" s="3"/>
      <c r="G150" s="3"/>
      <c r="H150" s="3"/>
      <c r="I150" s="3"/>
      <c r="J150" s="3"/>
    </row>
    <row r="151" ht="15.75" customHeight="1">
      <c r="A151" s="3"/>
      <c r="B151" s="3"/>
      <c r="C151" s="3"/>
      <c r="D151" s="3"/>
      <c r="E151" s="3"/>
      <c r="F151" s="3"/>
      <c r="G151" s="3"/>
      <c r="H151" s="3"/>
      <c r="I151" s="3"/>
      <c r="J151" s="3"/>
    </row>
    <row r="152" ht="15.75" customHeight="1">
      <c r="A152" s="3"/>
      <c r="B152" s="3"/>
      <c r="C152" s="3"/>
      <c r="D152" s="3"/>
      <c r="E152" s="3"/>
      <c r="F152" s="3"/>
      <c r="G152" s="3"/>
      <c r="H152" s="3"/>
      <c r="I152" s="3"/>
      <c r="J152" s="3"/>
    </row>
    <row r="153" ht="15.75" customHeight="1">
      <c r="A153" s="3"/>
      <c r="B153" s="3"/>
      <c r="C153" s="3"/>
      <c r="D153" s="3"/>
      <c r="E153" s="3"/>
      <c r="F153" s="3"/>
      <c r="G153" s="3"/>
      <c r="H153" s="3"/>
      <c r="I153" s="3"/>
      <c r="J153" s="3"/>
    </row>
    <row r="154" ht="15.75" customHeight="1">
      <c r="A154" s="3"/>
      <c r="B154" s="3"/>
      <c r="C154" s="3"/>
      <c r="D154" s="3"/>
      <c r="E154" s="3"/>
      <c r="F154" s="3"/>
      <c r="G154" s="3"/>
      <c r="H154" s="3"/>
      <c r="I154" s="3"/>
      <c r="J154" s="3"/>
    </row>
    <row r="155" ht="15.75" customHeight="1">
      <c r="A155" s="3"/>
      <c r="B155" s="3"/>
      <c r="C155" s="3"/>
      <c r="D155" s="3"/>
      <c r="E155" s="3"/>
      <c r="F155" s="3"/>
      <c r="G155" s="3"/>
      <c r="H155" s="3"/>
      <c r="I155" s="3"/>
      <c r="J155" s="3"/>
    </row>
    <row r="156" ht="15.75" customHeight="1">
      <c r="A156" s="3"/>
      <c r="B156" s="3"/>
      <c r="C156" s="3"/>
      <c r="D156" s="3"/>
      <c r="E156" s="3"/>
      <c r="F156" s="3"/>
      <c r="G156" s="3"/>
      <c r="H156" s="3"/>
      <c r="I156" s="3"/>
      <c r="J156" s="3"/>
    </row>
    <row r="157" ht="15.75" customHeight="1">
      <c r="A157" s="3"/>
      <c r="B157" s="3"/>
      <c r="C157" s="3"/>
      <c r="D157" s="3"/>
      <c r="E157" s="3"/>
      <c r="F157" s="3"/>
      <c r="G157" s="3"/>
      <c r="H157" s="3"/>
      <c r="I157" s="3"/>
      <c r="J157" s="3"/>
    </row>
    <row r="158" ht="15.75" customHeight="1">
      <c r="A158" s="3"/>
      <c r="B158" s="3"/>
      <c r="C158" s="3"/>
      <c r="D158" s="3"/>
      <c r="E158" s="3"/>
      <c r="F158" s="3"/>
      <c r="G158" s="3"/>
      <c r="H158" s="3"/>
      <c r="I158" s="3"/>
      <c r="J158" s="3"/>
    </row>
    <row r="159" ht="15.75" customHeight="1">
      <c r="A159" s="3"/>
      <c r="B159" s="3"/>
      <c r="C159" s="3"/>
      <c r="D159" s="3"/>
      <c r="E159" s="3"/>
      <c r="F159" s="3"/>
      <c r="G159" s="3"/>
      <c r="H159" s="3"/>
      <c r="I159" s="3"/>
      <c r="J159" s="3"/>
    </row>
    <row r="160" ht="15.75" customHeight="1">
      <c r="A160" s="3"/>
      <c r="B160" s="3"/>
      <c r="C160" s="3"/>
      <c r="D160" s="3"/>
      <c r="E160" s="3"/>
      <c r="F160" s="3"/>
      <c r="G160" s="3"/>
      <c r="H160" s="3"/>
      <c r="I160" s="3"/>
      <c r="J160" s="3"/>
    </row>
    <row r="161" ht="15.75" customHeight="1">
      <c r="A161" s="3"/>
      <c r="B161" s="3"/>
      <c r="C161" s="3"/>
      <c r="D161" s="3"/>
      <c r="E161" s="3"/>
      <c r="F161" s="3"/>
      <c r="G161" s="3"/>
      <c r="H161" s="3"/>
      <c r="I161" s="3"/>
      <c r="J161" s="3"/>
    </row>
    <row r="162" ht="15.75" customHeight="1">
      <c r="A162" s="3"/>
      <c r="B162" s="3"/>
      <c r="C162" s="3"/>
      <c r="D162" s="3"/>
      <c r="E162" s="3"/>
      <c r="F162" s="3"/>
      <c r="G162" s="3"/>
      <c r="H162" s="3"/>
      <c r="I162" s="3"/>
      <c r="J162" s="3"/>
    </row>
    <row r="163" ht="15.75" customHeight="1">
      <c r="A163" s="3"/>
      <c r="B163" s="3"/>
      <c r="C163" s="3"/>
      <c r="D163" s="3"/>
      <c r="E163" s="3"/>
      <c r="F163" s="3"/>
      <c r="G163" s="3"/>
      <c r="H163" s="3"/>
      <c r="I163" s="3"/>
      <c r="J163" s="3"/>
    </row>
    <row r="164" ht="15.75" customHeight="1">
      <c r="A164" s="3"/>
      <c r="B164" s="3"/>
      <c r="C164" s="3"/>
      <c r="D164" s="3"/>
      <c r="E164" s="3"/>
      <c r="F164" s="3"/>
      <c r="G164" s="3"/>
      <c r="H164" s="3"/>
      <c r="I164" s="3"/>
      <c r="J164" s="3"/>
    </row>
    <row r="165" ht="15.75" customHeight="1">
      <c r="A165" s="3"/>
      <c r="B165" s="3"/>
      <c r="C165" s="3"/>
      <c r="D165" s="3"/>
      <c r="E165" s="3"/>
      <c r="F165" s="3"/>
      <c r="G165" s="3"/>
      <c r="H165" s="3"/>
      <c r="I165" s="3"/>
      <c r="J165" s="3"/>
    </row>
    <row r="166" ht="15.75" customHeight="1">
      <c r="A166" s="3"/>
      <c r="B166" s="3"/>
      <c r="C166" s="3"/>
      <c r="D166" s="3"/>
      <c r="E166" s="3"/>
      <c r="F166" s="3"/>
      <c r="G166" s="3"/>
      <c r="H166" s="3"/>
      <c r="I166" s="3"/>
      <c r="J166" s="3"/>
    </row>
    <row r="167" ht="15.75" customHeight="1">
      <c r="A167" s="3"/>
      <c r="B167" s="3"/>
      <c r="C167" s="3"/>
      <c r="D167" s="3"/>
      <c r="E167" s="3"/>
      <c r="F167" s="3"/>
      <c r="G167" s="3"/>
      <c r="H167" s="3"/>
      <c r="I167" s="3"/>
      <c r="J167" s="3"/>
    </row>
    <row r="168" ht="15.75" customHeight="1">
      <c r="A168" s="3"/>
      <c r="B168" s="3"/>
      <c r="C168" s="3"/>
      <c r="D168" s="3"/>
      <c r="E168" s="3"/>
      <c r="F168" s="3"/>
      <c r="G168" s="3"/>
      <c r="H168" s="3"/>
      <c r="I168" s="3"/>
      <c r="J168" s="3"/>
    </row>
    <row r="169" ht="15.75" customHeight="1">
      <c r="A169" s="3"/>
      <c r="B169" s="3"/>
      <c r="C169" s="3"/>
      <c r="D169" s="3"/>
      <c r="E169" s="3"/>
      <c r="F169" s="3"/>
      <c r="G169" s="3"/>
      <c r="H169" s="3"/>
      <c r="I169" s="3"/>
      <c r="J169" s="3"/>
    </row>
    <row r="170" ht="15.75" customHeight="1">
      <c r="A170" s="3"/>
      <c r="B170" s="3"/>
      <c r="C170" s="3"/>
      <c r="D170" s="3"/>
      <c r="E170" s="3"/>
      <c r="F170" s="3"/>
      <c r="G170" s="3"/>
      <c r="H170" s="3"/>
      <c r="I170" s="3"/>
      <c r="J170" s="3"/>
    </row>
    <row r="171" ht="15.75" customHeight="1">
      <c r="A171" s="3"/>
      <c r="B171" s="3"/>
      <c r="C171" s="3"/>
      <c r="D171" s="3"/>
      <c r="E171" s="3"/>
      <c r="F171" s="3"/>
      <c r="G171" s="3"/>
      <c r="H171" s="3"/>
      <c r="I171" s="3"/>
      <c r="J171" s="3"/>
    </row>
    <row r="172" ht="15.75" customHeight="1">
      <c r="A172" s="3"/>
      <c r="B172" s="3"/>
      <c r="C172" s="3"/>
      <c r="D172" s="3"/>
      <c r="E172" s="3"/>
      <c r="F172" s="3"/>
      <c r="G172" s="3"/>
      <c r="H172" s="3"/>
      <c r="I172" s="3"/>
      <c r="J172" s="3"/>
    </row>
    <row r="173" ht="15.75" customHeight="1">
      <c r="A173" s="3"/>
      <c r="B173" s="3"/>
      <c r="C173" s="3"/>
      <c r="D173" s="3"/>
      <c r="E173" s="3"/>
      <c r="F173" s="3"/>
      <c r="G173" s="3"/>
      <c r="H173" s="3"/>
      <c r="I173" s="3"/>
      <c r="J173" s="3"/>
    </row>
    <row r="174" ht="15.75" customHeight="1">
      <c r="A174" s="3"/>
      <c r="B174" s="3"/>
      <c r="C174" s="3"/>
      <c r="D174" s="3"/>
      <c r="E174" s="3"/>
      <c r="F174" s="3"/>
      <c r="G174" s="3"/>
      <c r="H174" s="3"/>
      <c r="I174" s="3"/>
      <c r="J174" s="3"/>
    </row>
    <row r="175" ht="15.75" customHeight="1">
      <c r="A175" s="3"/>
      <c r="B175" s="3"/>
      <c r="C175" s="3"/>
      <c r="D175" s="3"/>
      <c r="E175" s="3"/>
      <c r="F175" s="3"/>
      <c r="G175" s="3"/>
      <c r="H175" s="3"/>
      <c r="I175" s="3"/>
      <c r="J175" s="3"/>
    </row>
    <row r="176" ht="15.75" customHeight="1">
      <c r="A176" s="3"/>
      <c r="B176" s="3"/>
      <c r="C176" s="3"/>
      <c r="D176" s="3"/>
      <c r="E176" s="3"/>
      <c r="F176" s="3"/>
      <c r="G176" s="3"/>
      <c r="H176" s="3"/>
      <c r="I176" s="3"/>
      <c r="J176" s="3"/>
    </row>
    <row r="177" ht="15.75" customHeight="1">
      <c r="A177" s="3"/>
      <c r="B177" s="3"/>
      <c r="C177" s="3"/>
      <c r="D177" s="3"/>
      <c r="E177" s="3"/>
      <c r="F177" s="3"/>
      <c r="G177" s="3"/>
      <c r="H177" s="3"/>
      <c r="I177" s="3"/>
      <c r="J177" s="3"/>
    </row>
    <row r="178" ht="15.75" customHeight="1">
      <c r="A178" s="3"/>
      <c r="B178" s="3"/>
      <c r="C178" s="3"/>
      <c r="D178" s="3"/>
      <c r="E178" s="3"/>
      <c r="F178" s="3"/>
      <c r="G178" s="3"/>
      <c r="H178" s="3"/>
      <c r="I178" s="3"/>
      <c r="J178" s="3"/>
    </row>
    <row r="179" ht="15.75" customHeight="1">
      <c r="A179" s="3"/>
      <c r="B179" s="3"/>
      <c r="C179" s="3"/>
      <c r="D179" s="3"/>
      <c r="E179" s="3"/>
      <c r="F179" s="3"/>
      <c r="G179" s="3"/>
      <c r="H179" s="3"/>
      <c r="I179" s="3"/>
      <c r="J179" s="3"/>
    </row>
    <row r="180" ht="15.75" customHeight="1">
      <c r="A180" s="3"/>
      <c r="B180" s="3"/>
      <c r="C180" s="3"/>
      <c r="D180" s="3"/>
      <c r="E180" s="3"/>
      <c r="F180" s="3"/>
      <c r="G180" s="3"/>
      <c r="H180" s="3"/>
      <c r="I180" s="3"/>
      <c r="J180" s="3"/>
    </row>
    <row r="181" ht="15.75" customHeight="1">
      <c r="A181" s="3"/>
      <c r="B181" s="3"/>
      <c r="C181" s="3"/>
      <c r="D181" s="3"/>
      <c r="E181" s="3"/>
      <c r="F181" s="3"/>
      <c r="G181" s="3"/>
      <c r="H181" s="3"/>
      <c r="I181" s="3"/>
      <c r="J181" s="3"/>
    </row>
    <row r="182" ht="15.75" customHeight="1">
      <c r="A182" s="3"/>
      <c r="B182" s="3"/>
      <c r="C182" s="3"/>
      <c r="D182" s="3"/>
      <c r="E182" s="3"/>
      <c r="F182" s="3"/>
      <c r="G182" s="3"/>
      <c r="H182" s="3"/>
      <c r="I182" s="3"/>
      <c r="J182" s="3"/>
    </row>
    <row r="183" ht="15.75" customHeight="1">
      <c r="A183" s="3"/>
      <c r="B183" s="3"/>
      <c r="C183" s="3"/>
      <c r="D183" s="3"/>
      <c r="E183" s="3"/>
      <c r="F183" s="3"/>
      <c r="G183" s="3"/>
      <c r="H183" s="3"/>
      <c r="I183" s="3"/>
      <c r="J183" s="3"/>
    </row>
    <row r="184" ht="15.75" customHeight="1">
      <c r="A184" s="3"/>
      <c r="B184" s="3"/>
      <c r="C184" s="3"/>
      <c r="D184" s="3"/>
      <c r="E184" s="3"/>
      <c r="F184" s="3"/>
      <c r="G184" s="3"/>
      <c r="H184" s="3"/>
      <c r="I184" s="3"/>
      <c r="J184" s="3"/>
    </row>
    <row r="185" ht="15.75" customHeight="1">
      <c r="A185" s="3"/>
      <c r="B185" s="3"/>
      <c r="C185" s="3"/>
      <c r="D185" s="3"/>
      <c r="E185" s="3"/>
      <c r="F185" s="3"/>
      <c r="G185" s="3"/>
      <c r="H185" s="3"/>
      <c r="I185" s="3"/>
      <c r="J185" s="3"/>
    </row>
    <row r="186" ht="15.75" customHeight="1">
      <c r="A186" s="3"/>
      <c r="B186" s="3"/>
      <c r="C186" s="3"/>
      <c r="D186" s="3"/>
      <c r="E186" s="3"/>
      <c r="F186" s="3"/>
      <c r="G186" s="3"/>
      <c r="H186" s="3"/>
      <c r="I186" s="3"/>
      <c r="J186" s="3"/>
    </row>
    <row r="187" ht="15.75" customHeight="1">
      <c r="A187" s="3"/>
      <c r="B187" s="3"/>
      <c r="C187" s="3"/>
      <c r="D187" s="3"/>
      <c r="E187" s="3"/>
      <c r="F187" s="3"/>
      <c r="G187" s="3"/>
      <c r="H187" s="3"/>
      <c r="I187" s="3"/>
      <c r="J187" s="3"/>
    </row>
    <row r="188" ht="15.75" customHeight="1">
      <c r="A188" s="3"/>
      <c r="B188" s="3"/>
      <c r="C188" s="3"/>
      <c r="D188" s="3"/>
      <c r="E188" s="3"/>
      <c r="F188" s="3"/>
      <c r="G188" s="3"/>
      <c r="H188" s="3"/>
      <c r="I188" s="3"/>
      <c r="J188" s="3"/>
    </row>
    <row r="189" ht="15.75" customHeight="1">
      <c r="A189" s="3"/>
      <c r="B189" s="3"/>
      <c r="C189" s="3"/>
      <c r="D189" s="3"/>
      <c r="E189" s="3"/>
      <c r="F189" s="3"/>
      <c r="G189" s="3"/>
      <c r="H189" s="3"/>
      <c r="I189" s="3"/>
      <c r="J189" s="3"/>
    </row>
    <row r="190" ht="15.75" customHeight="1">
      <c r="A190" s="3"/>
      <c r="B190" s="3"/>
      <c r="C190" s="3"/>
      <c r="D190" s="3"/>
      <c r="E190" s="3"/>
      <c r="F190" s="3"/>
      <c r="G190" s="3"/>
      <c r="H190" s="3"/>
      <c r="I190" s="3"/>
      <c r="J190" s="3"/>
    </row>
    <row r="191" ht="15.75" customHeight="1">
      <c r="A191" s="3"/>
      <c r="B191" s="3"/>
      <c r="C191" s="3"/>
      <c r="D191" s="3"/>
      <c r="E191" s="3"/>
      <c r="F191" s="3"/>
      <c r="G191" s="3"/>
      <c r="H191" s="3"/>
      <c r="I191" s="3"/>
      <c r="J191" s="3"/>
    </row>
    <row r="192" ht="15.75" customHeight="1">
      <c r="A192" s="3"/>
      <c r="B192" s="3"/>
      <c r="C192" s="3"/>
      <c r="D192" s="3"/>
      <c r="E192" s="3"/>
      <c r="F192" s="3"/>
      <c r="G192" s="3"/>
      <c r="H192" s="3"/>
      <c r="I192" s="3"/>
      <c r="J192" s="3"/>
    </row>
    <row r="193" ht="15.75" customHeight="1">
      <c r="A193" s="3"/>
      <c r="B193" s="3"/>
      <c r="C193" s="3"/>
      <c r="D193" s="3"/>
      <c r="E193" s="3"/>
      <c r="F193" s="3"/>
      <c r="G193" s="3"/>
      <c r="H193" s="3"/>
      <c r="I193" s="3"/>
      <c r="J193" s="3"/>
    </row>
    <row r="194" ht="15.75" customHeight="1">
      <c r="A194" s="3"/>
      <c r="B194" s="3"/>
      <c r="C194" s="3"/>
      <c r="D194" s="3"/>
      <c r="E194" s="3"/>
      <c r="F194" s="3"/>
      <c r="G194" s="3"/>
      <c r="H194" s="3"/>
      <c r="I194" s="3"/>
      <c r="J194" s="3"/>
    </row>
    <row r="195" ht="15.75" customHeight="1">
      <c r="A195" s="3"/>
      <c r="B195" s="3"/>
      <c r="C195" s="3"/>
      <c r="D195" s="3"/>
      <c r="E195" s="3"/>
      <c r="F195" s="3"/>
      <c r="G195" s="3"/>
      <c r="H195" s="3"/>
      <c r="I195" s="3"/>
      <c r="J195" s="3"/>
    </row>
    <row r="196" ht="15.75" customHeight="1">
      <c r="A196" s="3"/>
      <c r="B196" s="3"/>
      <c r="C196" s="3"/>
      <c r="D196" s="3"/>
      <c r="E196" s="3"/>
      <c r="F196" s="3"/>
      <c r="G196" s="3"/>
      <c r="H196" s="3"/>
      <c r="I196" s="3"/>
      <c r="J196" s="3"/>
    </row>
    <row r="197" ht="15.75" customHeight="1">
      <c r="A197" s="3"/>
      <c r="B197" s="3"/>
      <c r="C197" s="3"/>
      <c r="D197" s="3"/>
      <c r="E197" s="3"/>
      <c r="F197" s="3"/>
      <c r="G197" s="3"/>
      <c r="H197" s="3"/>
      <c r="I197" s="3"/>
      <c r="J197" s="3"/>
    </row>
    <row r="198" ht="15.75" customHeight="1">
      <c r="A198" s="3"/>
      <c r="B198" s="3"/>
      <c r="C198" s="3"/>
      <c r="D198" s="3"/>
      <c r="E198" s="3"/>
      <c r="F198" s="3"/>
      <c r="G198" s="3"/>
      <c r="H198" s="3"/>
      <c r="I198" s="3"/>
      <c r="J198" s="3"/>
    </row>
    <row r="199" ht="15.75" customHeight="1">
      <c r="A199" s="3"/>
      <c r="B199" s="3"/>
      <c r="C199" s="3"/>
      <c r="D199" s="3"/>
      <c r="E199" s="3"/>
      <c r="F199" s="3"/>
      <c r="G199" s="3"/>
      <c r="H199" s="3"/>
      <c r="I199" s="3"/>
      <c r="J199" s="3"/>
    </row>
    <row r="200" ht="15.75" customHeight="1">
      <c r="A200" s="3"/>
      <c r="B200" s="3"/>
      <c r="C200" s="3"/>
      <c r="D200" s="3"/>
      <c r="E200" s="3"/>
      <c r="F200" s="3"/>
      <c r="G200" s="3"/>
      <c r="H200" s="3"/>
      <c r="I200" s="3"/>
      <c r="J200" s="3"/>
    </row>
    <row r="201" ht="15.75" customHeight="1">
      <c r="A201" s="3"/>
      <c r="B201" s="3"/>
      <c r="C201" s="3"/>
      <c r="D201" s="3"/>
      <c r="E201" s="3"/>
      <c r="F201" s="3"/>
      <c r="G201" s="3"/>
      <c r="H201" s="3"/>
      <c r="I201" s="3"/>
      <c r="J201" s="3"/>
    </row>
    <row r="202" ht="15.75" customHeight="1">
      <c r="A202" s="3"/>
      <c r="B202" s="3"/>
      <c r="C202" s="3"/>
      <c r="D202" s="3"/>
      <c r="E202" s="3"/>
      <c r="F202" s="3"/>
      <c r="G202" s="3"/>
      <c r="H202" s="3"/>
      <c r="I202" s="3"/>
      <c r="J202" s="3"/>
    </row>
    <row r="203" ht="15.75" customHeight="1">
      <c r="A203" s="3"/>
      <c r="B203" s="3"/>
      <c r="C203" s="3"/>
      <c r="D203" s="3"/>
      <c r="E203" s="3"/>
      <c r="F203" s="3"/>
      <c r="G203" s="3"/>
      <c r="H203" s="3"/>
      <c r="I203" s="3"/>
      <c r="J203" s="3"/>
    </row>
    <row r="204" ht="15.75" customHeight="1">
      <c r="A204" s="3"/>
      <c r="B204" s="3"/>
      <c r="C204" s="3"/>
      <c r="D204" s="3"/>
      <c r="E204" s="3"/>
      <c r="F204" s="3"/>
      <c r="G204" s="3"/>
      <c r="H204" s="3"/>
      <c r="I204" s="3"/>
      <c r="J204" s="3"/>
    </row>
    <row r="205" ht="15.75" customHeight="1">
      <c r="A205" s="3"/>
      <c r="B205" s="3"/>
      <c r="C205" s="3"/>
      <c r="D205" s="3"/>
      <c r="E205" s="3"/>
      <c r="F205" s="3"/>
      <c r="G205" s="3"/>
      <c r="H205" s="3"/>
      <c r="I205" s="3"/>
      <c r="J205" s="3"/>
    </row>
    <row r="206" ht="15.75" customHeight="1">
      <c r="A206" s="3"/>
      <c r="B206" s="3"/>
      <c r="C206" s="3"/>
      <c r="D206" s="3"/>
      <c r="E206" s="3"/>
      <c r="F206" s="3"/>
      <c r="G206" s="3"/>
      <c r="H206" s="3"/>
      <c r="I206" s="3"/>
      <c r="J206" s="3"/>
    </row>
    <row r="207" ht="15.75" customHeight="1">
      <c r="A207" s="3"/>
      <c r="B207" s="3"/>
      <c r="C207" s="3"/>
      <c r="D207" s="3"/>
      <c r="E207" s="3"/>
      <c r="F207" s="3"/>
      <c r="G207" s="3"/>
      <c r="H207" s="3"/>
      <c r="I207" s="3"/>
      <c r="J207" s="3"/>
    </row>
    <row r="208" ht="15.75" customHeight="1">
      <c r="A208" s="3"/>
      <c r="B208" s="3"/>
      <c r="C208" s="3"/>
      <c r="D208" s="3"/>
      <c r="E208" s="3"/>
      <c r="F208" s="3"/>
      <c r="G208" s="3"/>
      <c r="H208" s="3"/>
      <c r="I208" s="3"/>
      <c r="J208" s="3"/>
    </row>
    <row r="209" ht="15.75" customHeight="1">
      <c r="A209" s="3"/>
      <c r="B209" s="3"/>
      <c r="C209" s="3"/>
      <c r="D209" s="3"/>
      <c r="E209" s="3"/>
      <c r="F209" s="3"/>
      <c r="G209" s="3"/>
      <c r="H209" s="3"/>
      <c r="I209" s="3"/>
      <c r="J209" s="3"/>
    </row>
    <row r="210" ht="15.75" customHeight="1">
      <c r="A210" s="3"/>
      <c r="B210" s="3"/>
      <c r="C210" s="3"/>
      <c r="D210" s="3"/>
      <c r="E210" s="3"/>
      <c r="F210" s="3"/>
      <c r="G210" s="3"/>
      <c r="H210" s="3"/>
      <c r="I210" s="3"/>
      <c r="J210" s="3"/>
    </row>
    <row r="211" ht="15.75" customHeight="1">
      <c r="A211" s="3"/>
      <c r="B211" s="3"/>
      <c r="C211" s="3"/>
      <c r="D211" s="3"/>
      <c r="E211" s="3"/>
      <c r="F211" s="3"/>
      <c r="G211" s="3"/>
      <c r="H211" s="3"/>
      <c r="I211" s="3"/>
      <c r="J211" s="3"/>
    </row>
    <row r="212" ht="15.75" customHeight="1">
      <c r="A212" s="3"/>
      <c r="B212" s="3"/>
      <c r="C212" s="3"/>
      <c r="D212" s="3"/>
      <c r="E212" s="3"/>
      <c r="F212" s="3"/>
      <c r="G212" s="3"/>
      <c r="H212" s="3"/>
      <c r="I212" s="3"/>
      <c r="J212" s="3"/>
    </row>
    <row r="213" ht="15.75" customHeight="1">
      <c r="A213" s="3"/>
      <c r="B213" s="3"/>
      <c r="C213" s="3"/>
      <c r="D213" s="3"/>
      <c r="E213" s="3"/>
      <c r="F213" s="3"/>
      <c r="G213" s="3"/>
      <c r="H213" s="3"/>
      <c r="I213" s="3"/>
      <c r="J213" s="3"/>
    </row>
    <row r="214" ht="15.75" customHeight="1">
      <c r="A214" s="3"/>
      <c r="B214" s="3"/>
      <c r="C214" s="3"/>
      <c r="D214" s="3"/>
      <c r="E214" s="3"/>
      <c r="F214" s="3"/>
      <c r="G214" s="3"/>
      <c r="H214" s="3"/>
      <c r="I214" s="3"/>
      <c r="J214" s="3"/>
    </row>
    <row r="215" ht="15.75" customHeight="1">
      <c r="A215" s="3"/>
      <c r="B215" s="3"/>
      <c r="C215" s="3"/>
      <c r="D215" s="3"/>
      <c r="E215" s="3"/>
      <c r="F215" s="3"/>
      <c r="G215" s="3"/>
      <c r="H215" s="3"/>
      <c r="I215" s="3"/>
      <c r="J215" s="3"/>
    </row>
    <row r="216" ht="15.75" customHeight="1">
      <c r="A216" s="3"/>
      <c r="B216" s="3"/>
      <c r="C216" s="3"/>
      <c r="D216" s="3"/>
      <c r="E216" s="3"/>
      <c r="F216" s="3"/>
      <c r="G216" s="3"/>
      <c r="H216" s="3"/>
      <c r="I216" s="3"/>
      <c r="J216" s="3"/>
    </row>
    <row r="217" ht="15.75" customHeight="1">
      <c r="A217" s="3"/>
      <c r="B217" s="3"/>
      <c r="C217" s="3"/>
      <c r="D217" s="3"/>
      <c r="E217" s="3"/>
      <c r="F217" s="3"/>
      <c r="G217" s="3"/>
      <c r="H217" s="3"/>
      <c r="I217" s="3"/>
      <c r="J217" s="3"/>
    </row>
    <row r="218" ht="15.75" customHeight="1">
      <c r="A218" s="3"/>
      <c r="B218" s="3"/>
      <c r="C218" s="3"/>
      <c r="D218" s="3"/>
      <c r="E218" s="3"/>
      <c r="F218" s="3"/>
      <c r="G218" s="3"/>
      <c r="H218" s="3"/>
      <c r="I218" s="3"/>
      <c r="J218" s="3"/>
    </row>
    <row r="219" ht="15.75" customHeight="1">
      <c r="A219" s="3"/>
      <c r="B219" s="3"/>
      <c r="C219" s="3"/>
      <c r="D219" s="3"/>
      <c r="E219" s="3"/>
      <c r="F219" s="3"/>
      <c r="G219" s="3"/>
      <c r="H219" s="3"/>
      <c r="I219" s="3"/>
      <c r="J219" s="3"/>
    </row>
    <row r="220" ht="15.75" customHeight="1">
      <c r="A220" s="3"/>
      <c r="B220" s="3"/>
      <c r="C220" s="3"/>
      <c r="D220" s="3"/>
      <c r="E220" s="3"/>
      <c r="F220" s="3"/>
      <c r="G220" s="3"/>
      <c r="H220" s="3"/>
      <c r="I220" s="3"/>
      <c r="J220" s="3"/>
    </row>
    <row r="221" ht="15.75" customHeight="1">
      <c r="A221" s="3"/>
      <c r="B221" s="3"/>
      <c r="C221" s="3"/>
      <c r="D221" s="3"/>
      <c r="E221" s="3"/>
      <c r="F221" s="3"/>
      <c r="G221" s="3"/>
      <c r="H221" s="3"/>
      <c r="I221" s="3"/>
      <c r="J221" s="3"/>
    </row>
    <row r="222" ht="15.75" customHeight="1">
      <c r="A222" s="3"/>
      <c r="B222" s="3"/>
      <c r="C222" s="3"/>
      <c r="D222" s="3"/>
      <c r="E222" s="3"/>
      <c r="F222" s="3"/>
      <c r="G222" s="3"/>
      <c r="H222" s="3"/>
      <c r="I222" s="3"/>
      <c r="J222" s="3"/>
    </row>
    <row r="223" ht="15.75" customHeight="1">
      <c r="A223" s="3"/>
      <c r="B223" s="3"/>
      <c r="C223" s="3"/>
      <c r="D223" s="3"/>
      <c r="E223" s="3"/>
      <c r="F223" s="3"/>
      <c r="G223" s="3"/>
      <c r="H223" s="3"/>
      <c r="I223" s="3"/>
      <c r="J223" s="3"/>
    </row>
    <row r="224" ht="15.75" customHeight="1">
      <c r="A224" s="3"/>
      <c r="B224" s="3"/>
      <c r="C224" s="3"/>
      <c r="D224" s="3"/>
      <c r="E224" s="3"/>
      <c r="F224" s="3"/>
      <c r="G224" s="3"/>
      <c r="H224" s="3"/>
      <c r="I224" s="3"/>
      <c r="J224" s="3"/>
    </row>
    <row r="225" ht="15.75" customHeight="1">
      <c r="A225" s="3"/>
      <c r="B225" s="3"/>
      <c r="C225" s="3"/>
      <c r="D225" s="3"/>
      <c r="E225" s="3"/>
      <c r="F225" s="3"/>
      <c r="G225" s="3"/>
      <c r="H225" s="3"/>
      <c r="I225" s="3"/>
      <c r="J225" s="3"/>
    </row>
    <row r="226" ht="15.75" customHeight="1">
      <c r="A226" s="3"/>
      <c r="B226" s="3"/>
      <c r="C226" s="3"/>
      <c r="D226" s="3"/>
      <c r="E226" s="3"/>
      <c r="F226" s="3"/>
      <c r="G226" s="3"/>
      <c r="H226" s="3"/>
      <c r="I226" s="3"/>
      <c r="J226" s="3"/>
    </row>
    <row r="227" ht="15.75" customHeight="1">
      <c r="A227" s="3"/>
      <c r="B227" s="3"/>
      <c r="C227" s="3"/>
      <c r="D227" s="3"/>
      <c r="E227" s="3"/>
      <c r="F227" s="3"/>
      <c r="G227" s="3"/>
      <c r="H227" s="3"/>
      <c r="I227" s="3"/>
      <c r="J227" s="3"/>
    </row>
    <row r="228" ht="15.75" customHeight="1">
      <c r="A228" s="3"/>
      <c r="B228" s="3"/>
      <c r="C228" s="3"/>
      <c r="D228" s="3"/>
      <c r="E228" s="3"/>
      <c r="F228" s="3"/>
      <c r="G228" s="3"/>
      <c r="H228" s="3"/>
      <c r="I228" s="3"/>
      <c r="J228" s="3"/>
    </row>
    <row r="229" ht="15.75" customHeight="1">
      <c r="A229" s="3"/>
      <c r="B229" s="3"/>
      <c r="C229" s="3"/>
      <c r="D229" s="3"/>
      <c r="E229" s="3"/>
      <c r="F229" s="3"/>
      <c r="G229" s="3"/>
      <c r="H229" s="3"/>
      <c r="I229" s="3"/>
      <c r="J229" s="3"/>
    </row>
    <row r="230" ht="15.75" customHeight="1">
      <c r="A230" s="3"/>
      <c r="B230" s="3"/>
      <c r="C230" s="3"/>
      <c r="D230" s="3"/>
      <c r="E230" s="3"/>
      <c r="F230" s="3"/>
      <c r="G230" s="3"/>
      <c r="H230" s="3"/>
      <c r="I230" s="3"/>
      <c r="J230" s="3"/>
    </row>
    <row r="231" ht="15.75" customHeight="1">
      <c r="A231" s="3"/>
      <c r="B231" s="3"/>
      <c r="C231" s="3"/>
      <c r="D231" s="3"/>
      <c r="E231" s="3"/>
      <c r="F231" s="3"/>
      <c r="G231" s="3"/>
      <c r="H231" s="3"/>
      <c r="I231" s="3"/>
      <c r="J231" s="3"/>
    </row>
    <row r="232" ht="15.75" customHeight="1">
      <c r="A232" s="3"/>
      <c r="B232" s="3"/>
      <c r="C232" s="3"/>
      <c r="D232" s="3"/>
      <c r="E232" s="3"/>
      <c r="F232" s="3"/>
      <c r="G232" s="3"/>
      <c r="H232" s="3"/>
      <c r="I232" s="3"/>
      <c r="J232" s="3"/>
    </row>
    <row r="233" ht="15.75" customHeight="1">
      <c r="A233" s="3"/>
      <c r="B233" s="3"/>
      <c r="C233" s="3"/>
      <c r="D233" s="3"/>
      <c r="E233" s="3"/>
      <c r="F233" s="3"/>
      <c r="G233" s="3"/>
      <c r="H233" s="3"/>
      <c r="I233" s="3"/>
      <c r="J233" s="3"/>
    </row>
    <row r="234" ht="15.75" customHeight="1">
      <c r="A234" s="3"/>
      <c r="B234" s="3"/>
      <c r="C234" s="3"/>
      <c r="D234" s="3"/>
      <c r="E234" s="3"/>
      <c r="F234" s="3"/>
      <c r="G234" s="3"/>
      <c r="H234" s="3"/>
      <c r="I234" s="3"/>
      <c r="J234" s="3"/>
    </row>
    <row r="235" ht="15.75" customHeight="1">
      <c r="A235" s="3"/>
      <c r="B235" s="3"/>
      <c r="C235" s="3"/>
      <c r="D235" s="3"/>
      <c r="E235" s="3"/>
      <c r="F235" s="3"/>
      <c r="G235" s="3"/>
      <c r="H235" s="3"/>
      <c r="I235" s="3"/>
      <c r="J235" s="3"/>
    </row>
    <row r="236" ht="15.75" customHeight="1">
      <c r="A236" s="3"/>
      <c r="B236" s="3"/>
      <c r="C236" s="3"/>
      <c r="D236" s="3"/>
      <c r="E236" s="3"/>
      <c r="F236" s="3"/>
      <c r="G236" s="3"/>
      <c r="H236" s="3"/>
      <c r="I236" s="3"/>
      <c r="J236" s="3"/>
    </row>
    <row r="237" ht="15.75" customHeight="1">
      <c r="A237" s="3"/>
      <c r="B237" s="3"/>
      <c r="C237" s="3"/>
      <c r="D237" s="3"/>
      <c r="E237" s="3"/>
      <c r="F237" s="3"/>
      <c r="G237" s="3"/>
      <c r="H237" s="3"/>
      <c r="I237" s="3"/>
      <c r="J237" s="3"/>
    </row>
    <row r="238" ht="15.75" customHeight="1">
      <c r="A238" s="3"/>
      <c r="B238" s="3"/>
      <c r="C238" s="3"/>
      <c r="D238" s="3"/>
      <c r="E238" s="3"/>
      <c r="F238" s="3"/>
      <c r="G238" s="3"/>
      <c r="H238" s="3"/>
      <c r="I238" s="3"/>
      <c r="J238" s="3"/>
    </row>
    <row r="239" ht="15.75" customHeight="1">
      <c r="A239" s="3"/>
      <c r="B239" s="3"/>
      <c r="C239" s="3"/>
      <c r="D239" s="3"/>
      <c r="E239" s="3"/>
      <c r="F239" s="3"/>
      <c r="G239" s="3"/>
      <c r="H239" s="3"/>
      <c r="I239" s="3"/>
      <c r="J239" s="3"/>
    </row>
    <row r="240" ht="15.75" customHeight="1">
      <c r="A240" s="3"/>
      <c r="B240" s="3"/>
      <c r="C240" s="3"/>
      <c r="D240" s="3"/>
      <c r="E240" s="3"/>
      <c r="F240" s="3"/>
      <c r="G240" s="3"/>
      <c r="H240" s="3"/>
      <c r="I240" s="3"/>
      <c r="J240" s="3"/>
    </row>
    <row r="241" ht="15.75" customHeight="1">
      <c r="A241" s="3"/>
      <c r="B241" s="3"/>
      <c r="C241" s="3"/>
      <c r="D241" s="3"/>
      <c r="E241" s="3"/>
      <c r="F241" s="3"/>
      <c r="G241" s="3"/>
      <c r="H241" s="3"/>
      <c r="I241" s="3"/>
      <c r="J241" s="3"/>
    </row>
    <row r="242" ht="15.75" customHeight="1">
      <c r="A242" s="3"/>
      <c r="B242" s="3"/>
      <c r="C242" s="3"/>
      <c r="D242" s="3"/>
      <c r="E242" s="3"/>
      <c r="F242" s="3"/>
      <c r="G242" s="3"/>
      <c r="H242" s="3"/>
      <c r="I242" s="3"/>
      <c r="J242" s="3"/>
    </row>
    <row r="243" ht="15.75" customHeight="1">
      <c r="A243" s="3"/>
      <c r="B243" s="3"/>
      <c r="C243" s="3"/>
      <c r="D243" s="3"/>
      <c r="E243" s="3"/>
      <c r="F243" s="3"/>
      <c r="G243" s="3"/>
      <c r="H243" s="3"/>
      <c r="I243" s="3"/>
      <c r="J243" s="3"/>
    </row>
    <row r="244" ht="15.75" customHeight="1">
      <c r="A244" s="3"/>
      <c r="B244" s="3"/>
      <c r="C244" s="3"/>
      <c r="D244" s="3"/>
      <c r="E244" s="3"/>
      <c r="F244" s="3"/>
      <c r="G244" s="3"/>
      <c r="H244" s="3"/>
      <c r="I244" s="3"/>
      <c r="J244" s="3"/>
    </row>
    <row r="245" ht="15.75" customHeight="1">
      <c r="A245" s="3"/>
      <c r="B245" s="3"/>
      <c r="C245" s="3"/>
      <c r="D245" s="3"/>
      <c r="E245" s="3"/>
      <c r="F245" s="3"/>
      <c r="G245" s="3"/>
      <c r="H245" s="3"/>
      <c r="I245" s="3"/>
      <c r="J245" s="3"/>
    </row>
    <row r="246" ht="15.75" customHeight="1">
      <c r="A246" s="3"/>
      <c r="B246" s="3"/>
      <c r="C246" s="3"/>
      <c r="D246" s="3"/>
      <c r="E246" s="3"/>
      <c r="F246" s="3"/>
      <c r="G246" s="3"/>
      <c r="H246" s="3"/>
      <c r="I246" s="3"/>
      <c r="J246" s="3"/>
    </row>
    <row r="247" ht="15.75" customHeight="1">
      <c r="A247" s="3"/>
      <c r="B247" s="3"/>
      <c r="C247" s="3"/>
      <c r="D247" s="3"/>
      <c r="E247" s="3"/>
      <c r="F247" s="3"/>
      <c r="G247" s="3"/>
      <c r="H247" s="3"/>
      <c r="I247" s="3"/>
      <c r="J247" s="3"/>
    </row>
    <row r="248" ht="15.75" customHeight="1">
      <c r="A248" s="3"/>
      <c r="B248" s="3"/>
      <c r="C248" s="3"/>
      <c r="D248" s="3"/>
      <c r="E248" s="3"/>
      <c r="F248" s="3"/>
      <c r="G248" s="3"/>
      <c r="H248" s="3"/>
      <c r="I248" s="3"/>
      <c r="J248" s="3"/>
    </row>
    <row r="249" ht="15.75" customHeight="1">
      <c r="A249" s="3"/>
      <c r="B249" s="3"/>
      <c r="C249" s="3"/>
      <c r="D249" s="3"/>
      <c r="E249" s="3"/>
      <c r="F249" s="3"/>
      <c r="G249" s="3"/>
      <c r="H249" s="3"/>
      <c r="I249" s="3"/>
      <c r="J249" s="3"/>
    </row>
    <row r="250" ht="15.75" customHeight="1">
      <c r="A250" s="3"/>
      <c r="B250" s="3"/>
      <c r="C250" s="3"/>
      <c r="D250" s="3"/>
      <c r="E250" s="3"/>
      <c r="F250" s="3"/>
      <c r="G250" s="3"/>
      <c r="H250" s="3"/>
      <c r="I250" s="3"/>
      <c r="J250" s="3"/>
    </row>
    <row r="251" ht="15.75" customHeight="1">
      <c r="A251" s="3"/>
      <c r="B251" s="3"/>
      <c r="C251" s="3"/>
      <c r="D251" s="3"/>
      <c r="E251" s="3"/>
      <c r="F251" s="3"/>
      <c r="G251" s="3"/>
      <c r="H251" s="3"/>
      <c r="I251" s="3"/>
      <c r="J251" s="3"/>
    </row>
    <row r="252" ht="15.75" customHeight="1">
      <c r="A252" s="3"/>
      <c r="B252" s="3"/>
      <c r="C252" s="3"/>
      <c r="D252" s="3"/>
      <c r="E252" s="3"/>
      <c r="F252" s="3"/>
      <c r="G252" s="3"/>
      <c r="H252" s="3"/>
      <c r="I252" s="3"/>
      <c r="J252" s="3"/>
    </row>
    <row r="253" ht="15.75" customHeight="1">
      <c r="A253" s="3"/>
      <c r="B253" s="3"/>
      <c r="C253" s="3"/>
      <c r="D253" s="3"/>
      <c r="E253" s="3"/>
      <c r="F253" s="3"/>
      <c r="G253" s="3"/>
      <c r="H253" s="3"/>
      <c r="I253" s="3"/>
      <c r="J253" s="3"/>
    </row>
    <row r="254" ht="15.75" customHeight="1">
      <c r="A254" s="3"/>
      <c r="B254" s="3"/>
      <c r="C254" s="3"/>
      <c r="D254" s="3"/>
      <c r="E254" s="3"/>
      <c r="F254" s="3"/>
      <c r="G254" s="3"/>
      <c r="H254" s="3"/>
      <c r="I254" s="3"/>
      <c r="J254" s="3"/>
    </row>
    <row r="255" ht="15.75" customHeight="1">
      <c r="A255" s="3"/>
      <c r="B255" s="3"/>
      <c r="C255" s="3"/>
      <c r="D255" s="3"/>
      <c r="E255" s="3"/>
      <c r="F255" s="3"/>
      <c r="G255" s="3"/>
      <c r="H255" s="3"/>
      <c r="I255" s="3"/>
      <c r="J255" s="3"/>
    </row>
    <row r="256" ht="15.75" customHeight="1">
      <c r="A256" s="3"/>
      <c r="B256" s="3"/>
      <c r="C256" s="3"/>
      <c r="D256" s="3"/>
      <c r="E256" s="3"/>
      <c r="F256" s="3"/>
      <c r="G256" s="3"/>
      <c r="H256" s="3"/>
      <c r="I256" s="3"/>
      <c r="J256" s="3"/>
    </row>
    <row r="257" ht="15.75" customHeight="1">
      <c r="A257" s="3"/>
      <c r="B257" s="3"/>
      <c r="C257" s="3"/>
      <c r="D257" s="3"/>
      <c r="E257" s="3"/>
      <c r="F257" s="3"/>
      <c r="G257" s="3"/>
      <c r="H257" s="3"/>
      <c r="I257" s="3"/>
      <c r="J257" s="3"/>
    </row>
    <row r="258" ht="15.75" customHeight="1">
      <c r="A258" s="3"/>
      <c r="B258" s="3"/>
      <c r="C258" s="3"/>
      <c r="D258" s="3"/>
      <c r="E258" s="3"/>
      <c r="F258" s="3"/>
      <c r="G258" s="3"/>
      <c r="H258" s="3"/>
      <c r="I258" s="3"/>
      <c r="J258" s="3"/>
    </row>
    <row r="259" ht="15.75" customHeight="1">
      <c r="A259" s="3"/>
      <c r="B259" s="3"/>
      <c r="C259" s="3"/>
      <c r="D259" s="3"/>
      <c r="E259" s="3"/>
      <c r="F259" s="3"/>
      <c r="G259" s="3"/>
      <c r="H259" s="3"/>
      <c r="I259" s="3"/>
      <c r="J259" s="3"/>
    </row>
    <row r="260" ht="15.75" customHeight="1">
      <c r="A260" s="3"/>
      <c r="B260" s="3"/>
      <c r="C260" s="3"/>
      <c r="D260" s="3"/>
      <c r="E260" s="3"/>
      <c r="F260" s="3"/>
      <c r="G260" s="3"/>
      <c r="H260" s="3"/>
      <c r="I260" s="3"/>
      <c r="J260" s="3"/>
    </row>
    <row r="261" ht="15.75" customHeight="1">
      <c r="A261" s="3"/>
      <c r="B261" s="3"/>
      <c r="C261" s="3"/>
      <c r="D261" s="3"/>
      <c r="E261" s="3"/>
      <c r="F261" s="3"/>
      <c r="G261" s="3"/>
      <c r="H261" s="3"/>
      <c r="I261" s="3"/>
      <c r="J261" s="3"/>
    </row>
    <row r="262" ht="15.75" customHeight="1">
      <c r="A262" s="3"/>
      <c r="B262" s="3"/>
      <c r="C262" s="3"/>
      <c r="D262" s="3"/>
      <c r="E262" s="3"/>
      <c r="F262" s="3"/>
      <c r="G262" s="3"/>
      <c r="H262" s="3"/>
      <c r="I262" s="3"/>
      <c r="J262" s="3"/>
    </row>
    <row r="263" ht="15.75" customHeight="1">
      <c r="A263" s="3"/>
      <c r="B263" s="3"/>
      <c r="C263" s="3"/>
      <c r="D263" s="3"/>
      <c r="E263" s="3"/>
      <c r="F263" s="3"/>
      <c r="G263" s="3"/>
      <c r="H263" s="3"/>
      <c r="I263" s="3"/>
      <c r="J263" s="3"/>
    </row>
    <row r="264" ht="15.75" customHeight="1">
      <c r="A264" s="3"/>
      <c r="B264" s="3"/>
      <c r="C264" s="3"/>
      <c r="D264" s="3"/>
      <c r="E264" s="3"/>
      <c r="F264" s="3"/>
      <c r="G264" s="3"/>
      <c r="H264" s="3"/>
      <c r="I264" s="3"/>
      <c r="J264" s="3"/>
    </row>
    <row r="265" ht="15.75" customHeight="1">
      <c r="A265" s="3"/>
      <c r="B265" s="3"/>
      <c r="C265" s="3"/>
      <c r="D265" s="3"/>
      <c r="E265" s="3"/>
      <c r="F265" s="3"/>
      <c r="G265" s="3"/>
      <c r="H265" s="3"/>
      <c r="I265" s="3"/>
      <c r="J265" s="3"/>
    </row>
    <row r="266" ht="15.75" customHeight="1">
      <c r="A266" s="3"/>
      <c r="B266" s="3"/>
      <c r="C266" s="3"/>
      <c r="D266" s="3"/>
      <c r="E266" s="3"/>
      <c r="F266" s="3"/>
      <c r="G266" s="3"/>
      <c r="H266" s="3"/>
      <c r="I266" s="3"/>
      <c r="J266" s="3"/>
    </row>
    <row r="267" ht="15.75" customHeight="1">
      <c r="A267" s="3"/>
      <c r="B267" s="3"/>
      <c r="C267" s="3"/>
      <c r="D267" s="3"/>
      <c r="E267" s="3"/>
      <c r="F267" s="3"/>
      <c r="G267" s="3"/>
      <c r="H267" s="3"/>
      <c r="I267" s="3"/>
      <c r="J267" s="3"/>
    </row>
    <row r="268" ht="15.75" customHeight="1">
      <c r="A268" s="3"/>
      <c r="B268" s="3"/>
      <c r="C268" s="3"/>
      <c r="D268" s="3"/>
      <c r="E268" s="3"/>
      <c r="F268" s="3"/>
      <c r="G268" s="3"/>
      <c r="H268" s="3"/>
      <c r="I268" s="3"/>
      <c r="J268" s="3"/>
    </row>
    <row r="269" ht="15.75" customHeight="1">
      <c r="A269" s="3"/>
      <c r="B269" s="3"/>
      <c r="C269" s="3"/>
      <c r="D269" s="3"/>
      <c r="E269" s="3"/>
      <c r="F269" s="3"/>
      <c r="G269" s="3"/>
      <c r="H269" s="3"/>
      <c r="I269" s="3"/>
      <c r="J269" s="3"/>
    </row>
    <row r="270" ht="15.75" customHeight="1">
      <c r="A270" s="3"/>
      <c r="B270" s="3"/>
      <c r="C270" s="3"/>
      <c r="D270" s="3"/>
      <c r="E270" s="3"/>
      <c r="F270" s="3"/>
      <c r="G270" s="3"/>
      <c r="H270" s="3"/>
      <c r="I270" s="3"/>
      <c r="J270" s="3"/>
    </row>
    <row r="271" ht="15.75" customHeight="1">
      <c r="A271" s="3"/>
      <c r="B271" s="3"/>
      <c r="C271" s="3"/>
      <c r="D271" s="3"/>
      <c r="E271" s="3"/>
      <c r="F271" s="3"/>
      <c r="G271" s="3"/>
      <c r="H271" s="3"/>
      <c r="I271" s="3"/>
      <c r="J271" s="3"/>
    </row>
    <row r="272" ht="15.75" customHeight="1">
      <c r="A272" s="3"/>
      <c r="B272" s="3"/>
      <c r="C272" s="3"/>
      <c r="D272" s="3"/>
      <c r="E272" s="3"/>
      <c r="F272" s="3"/>
      <c r="G272" s="3"/>
      <c r="H272" s="3"/>
      <c r="I272" s="3"/>
      <c r="J272" s="3"/>
    </row>
    <row r="273" ht="15.75" customHeight="1">
      <c r="A273" s="3"/>
      <c r="B273" s="3"/>
      <c r="C273" s="3"/>
      <c r="D273" s="3"/>
      <c r="E273" s="3"/>
      <c r="F273" s="3"/>
      <c r="G273" s="3"/>
      <c r="H273" s="3"/>
      <c r="I273" s="3"/>
      <c r="J273" s="3"/>
    </row>
    <row r="274" ht="15.75" customHeight="1">
      <c r="A274" s="3"/>
      <c r="B274" s="3"/>
      <c r="C274" s="3"/>
      <c r="D274" s="3"/>
      <c r="E274" s="3"/>
      <c r="F274" s="3"/>
      <c r="G274" s="3"/>
      <c r="H274" s="3"/>
      <c r="I274" s="3"/>
      <c r="J274" s="3"/>
    </row>
    <row r="275" ht="15.75" customHeight="1">
      <c r="A275" s="3"/>
      <c r="B275" s="3"/>
      <c r="C275" s="3"/>
      <c r="D275" s="3"/>
      <c r="E275" s="3"/>
      <c r="F275" s="3"/>
      <c r="G275" s="3"/>
      <c r="H275" s="3"/>
      <c r="I275" s="3"/>
      <c r="J275" s="3"/>
    </row>
    <row r="276" ht="15.75" customHeight="1">
      <c r="A276" s="3"/>
      <c r="B276" s="3"/>
      <c r="C276" s="3"/>
      <c r="D276" s="3"/>
      <c r="E276" s="3"/>
      <c r="F276" s="3"/>
      <c r="G276" s="3"/>
      <c r="H276" s="3"/>
      <c r="I276" s="3"/>
      <c r="J276" s="3"/>
    </row>
    <row r="277" ht="15.75" customHeight="1">
      <c r="A277" s="3"/>
      <c r="B277" s="3"/>
      <c r="C277" s="3"/>
      <c r="D277" s="3"/>
      <c r="E277" s="3"/>
      <c r="F277" s="3"/>
      <c r="G277" s="3"/>
      <c r="H277" s="3"/>
      <c r="I277" s="3"/>
      <c r="J277" s="3"/>
    </row>
    <row r="278" ht="15.75" customHeight="1">
      <c r="A278" s="3"/>
      <c r="B278" s="3"/>
      <c r="C278" s="3"/>
      <c r="D278" s="3"/>
      <c r="E278" s="3"/>
      <c r="F278" s="3"/>
      <c r="G278" s="3"/>
      <c r="H278" s="3"/>
      <c r="I278" s="3"/>
      <c r="J278" s="3"/>
    </row>
    <row r="279" ht="15.75" customHeight="1">
      <c r="A279" s="3"/>
      <c r="B279" s="3"/>
      <c r="C279" s="3"/>
      <c r="D279" s="3"/>
      <c r="E279" s="3"/>
      <c r="F279" s="3"/>
      <c r="G279" s="3"/>
      <c r="H279" s="3"/>
      <c r="I279" s="3"/>
      <c r="J279" s="3"/>
    </row>
    <row r="280" ht="15.75" customHeight="1">
      <c r="A280" s="3"/>
      <c r="B280" s="3"/>
      <c r="C280" s="3"/>
      <c r="D280" s="3"/>
      <c r="E280" s="3"/>
      <c r="F280" s="3"/>
      <c r="G280" s="3"/>
      <c r="H280" s="3"/>
      <c r="I280" s="3"/>
      <c r="J280" s="3"/>
    </row>
    <row r="281" ht="15.75" customHeight="1">
      <c r="A281" s="3"/>
      <c r="B281" s="3"/>
      <c r="C281" s="3"/>
      <c r="D281" s="3"/>
      <c r="E281" s="3"/>
      <c r="F281" s="3"/>
      <c r="G281" s="3"/>
      <c r="H281" s="3"/>
      <c r="I281" s="3"/>
      <c r="J281" s="3"/>
    </row>
    <row r="282" ht="15.75" customHeight="1">
      <c r="A282" s="3"/>
      <c r="B282" s="3"/>
      <c r="C282" s="3"/>
      <c r="D282" s="3"/>
      <c r="E282" s="3"/>
      <c r="F282" s="3"/>
      <c r="G282" s="3"/>
      <c r="H282" s="3"/>
      <c r="I282" s="3"/>
      <c r="J282" s="3"/>
    </row>
    <row r="283" ht="15.75" customHeight="1">
      <c r="A283" s="3"/>
      <c r="B283" s="3"/>
      <c r="C283" s="3"/>
      <c r="D283" s="3"/>
      <c r="E283" s="3"/>
      <c r="F283" s="3"/>
      <c r="G283" s="3"/>
      <c r="H283" s="3"/>
      <c r="I283" s="3"/>
      <c r="J283" s="3"/>
    </row>
    <row r="284" ht="15.75" customHeight="1">
      <c r="A284" s="3"/>
      <c r="B284" s="3"/>
      <c r="C284" s="3"/>
      <c r="D284" s="3"/>
      <c r="E284" s="3"/>
      <c r="F284" s="3"/>
      <c r="G284" s="3"/>
      <c r="H284" s="3"/>
      <c r="I284" s="3"/>
      <c r="J284" s="3"/>
    </row>
    <row r="285" ht="15.75" customHeight="1">
      <c r="A285" s="3"/>
      <c r="B285" s="3"/>
      <c r="C285" s="3"/>
      <c r="D285" s="3"/>
      <c r="E285" s="3"/>
      <c r="F285" s="3"/>
      <c r="G285" s="3"/>
      <c r="H285" s="3"/>
      <c r="I285" s="3"/>
      <c r="J285" s="3"/>
    </row>
    <row r="286" ht="15.75" customHeight="1">
      <c r="A286" s="3"/>
      <c r="B286" s="3"/>
      <c r="C286" s="3"/>
      <c r="D286" s="3"/>
      <c r="E286" s="3"/>
      <c r="F286" s="3"/>
      <c r="G286" s="3"/>
      <c r="H286" s="3"/>
      <c r="I286" s="3"/>
      <c r="J286" s="3"/>
    </row>
    <row r="287" ht="15.75" customHeight="1">
      <c r="A287" s="3"/>
      <c r="B287" s="3"/>
      <c r="C287" s="3"/>
      <c r="D287" s="3"/>
      <c r="E287" s="3"/>
      <c r="F287" s="3"/>
      <c r="G287" s="3"/>
      <c r="H287" s="3"/>
      <c r="I287" s="3"/>
      <c r="J287" s="3"/>
    </row>
    <row r="288" ht="15.75" customHeight="1">
      <c r="A288" s="3"/>
      <c r="B288" s="3"/>
      <c r="C288" s="3"/>
      <c r="D288" s="3"/>
      <c r="E288" s="3"/>
      <c r="F288" s="3"/>
      <c r="G288" s="3"/>
      <c r="H288" s="3"/>
      <c r="I288" s="3"/>
      <c r="J288" s="3"/>
    </row>
    <row r="289" ht="15.75" customHeight="1">
      <c r="A289" s="3"/>
      <c r="B289" s="3"/>
      <c r="C289" s="3"/>
      <c r="D289" s="3"/>
      <c r="E289" s="3"/>
      <c r="F289" s="3"/>
      <c r="G289" s="3"/>
      <c r="H289" s="3"/>
      <c r="I289" s="3"/>
      <c r="J289" s="3"/>
    </row>
    <row r="290" ht="15.75" customHeight="1">
      <c r="A290" s="3"/>
      <c r="B290" s="3"/>
      <c r="C290" s="3"/>
      <c r="D290" s="3"/>
      <c r="E290" s="3"/>
      <c r="F290" s="3"/>
      <c r="G290" s="3"/>
      <c r="H290" s="3"/>
      <c r="I290" s="3"/>
      <c r="J290" s="3"/>
    </row>
    <row r="291" ht="15.75" customHeight="1">
      <c r="A291" s="3"/>
      <c r="B291" s="3"/>
      <c r="C291" s="3"/>
      <c r="D291" s="3"/>
      <c r="E291" s="3"/>
      <c r="F291" s="3"/>
      <c r="G291" s="3"/>
      <c r="H291" s="3"/>
      <c r="I291" s="3"/>
      <c r="J291" s="3"/>
    </row>
    <row r="292" ht="15.75" customHeight="1">
      <c r="A292" s="3"/>
      <c r="B292" s="3"/>
      <c r="C292" s="3"/>
      <c r="D292" s="3"/>
      <c r="E292" s="3"/>
      <c r="F292" s="3"/>
      <c r="G292" s="3"/>
      <c r="H292" s="3"/>
      <c r="I292" s="3"/>
      <c r="J292" s="3"/>
    </row>
    <row r="293" ht="15.75" customHeight="1">
      <c r="A293" s="3"/>
      <c r="B293" s="3"/>
      <c r="C293" s="3"/>
      <c r="D293" s="3"/>
      <c r="E293" s="3"/>
      <c r="F293" s="3"/>
      <c r="G293" s="3"/>
      <c r="H293" s="3"/>
      <c r="I293" s="3"/>
      <c r="J293" s="3"/>
    </row>
    <row r="294" ht="15.75" customHeight="1">
      <c r="A294" s="3"/>
      <c r="B294" s="3"/>
      <c r="C294" s="3"/>
      <c r="D294" s="3"/>
      <c r="E294" s="3"/>
      <c r="F294" s="3"/>
      <c r="G294" s="3"/>
      <c r="H294" s="3"/>
      <c r="I294" s="3"/>
      <c r="J294" s="3"/>
    </row>
    <row r="295" ht="15.75" customHeight="1">
      <c r="A295" s="3"/>
      <c r="B295" s="3"/>
      <c r="C295" s="3"/>
      <c r="D295" s="3"/>
      <c r="E295" s="3"/>
      <c r="F295" s="3"/>
      <c r="G295" s="3"/>
      <c r="H295" s="3"/>
      <c r="I295" s="3"/>
      <c r="J295" s="3"/>
    </row>
    <row r="296" ht="15.75" customHeight="1">
      <c r="A296" s="3"/>
      <c r="B296" s="3"/>
      <c r="C296" s="3"/>
      <c r="D296" s="3"/>
      <c r="E296" s="3"/>
      <c r="F296" s="3"/>
      <c r="G296" s="3"/>
      <c r="H296" s="3"/>
      <c r="I296" s="3"/>
      <c r="J296" s="3"/>
    </row>
    <row r="297" ht="15.75" customHeight="1">
      <c r="A297" s="3"/>
      <c r="B297" s="3"/>
      <c r="C297" s="3"/>
      <c r="D297" s="3"/>
      <c r="E297" s="3"/>
      <c r="F297" s="3"/>
      <c r="G297" s="3"/>
      <c r="H297" s="3"/>
      <c r="I297" s="3"/>
      <c r="J297" s="3"/>
    </row>
    <row r="298" ht="15.75" customHeight="1">
      <c r="A298" s="3"/>
      <c r="B298" s="3"/>
      <c r="C298" s="3"/>
      <c r="D298" s="3"/>
      <c r="E298" s="3"/>
      <c r="F298" s="3"/>
      <c r="G298" s="3"/>
      <c r="H298" s="3"/>
      <c r="I298" s="3"/>
      <c r="J298" s="3"/>
    </row>
    <row r="299" ht="15.75" customHeight="1">
      <c r="A299" s="3"/>
      <c r="B299" s="3"/>
      <c r="C299" s="3"/>
      <c r="D299" s="3"/>
      <c r="E299" s="3"/>
      <c r="F299" s="3"/>
      <c r="G299" s="3"/>
      <c r="H299" s="3"/>
      <c r="I299" s="3"/>
      <c r="J299" s="3"/>
    </row>
    <row r="300" ht="15.75" customHeight="1">
      <c r="A300" s="3"/>
      <c r="B300" s="3"/>
      <c r="C300" s="3"/>
      <c r="D300" s="3"/>
      <c r="E300" s="3"/>
      <c r="F300" s="3"/>
      <c r="G300" s="3"/>
      <c r="H300" s="3"/>
      <c r="I300" s="3"/>
      <c r="J300" s="3"/>
    </row>
    <row r="301" ht="15.75" customHeight="1">
      <c r="A301" s="3"/>
      <c r="B301" s="3"/>
      <c r="C301" s="3"/>
      <c r="D301" s="3"/>
      <c r="E301" s="3"/>
      <c r="F301" s="3"/>
      <c r="G301" s="3"/>
      <c r="H301" s="3"/>
      <c r="I301" s="3"/>
      <c r="J301" s="3"/>
    </row>
    <row r="302" ht="15.75" customHeight="1">
      <c r="A302" s="3"/>
      <c r="B302" s="3"/>
      <c r="C302" s="3"/>
      <c r="D302" s="3"/>
      <c r="E302" s="3"/>
      <c r="F302" s="3"/>
      <c r="G302" s="3"/>
      <c r="H302" s="3"/>
      <c r="I302" s="3"/>
      <c r="J302" s="3"/>
    </row>
    <row r="303" ht="15.75" customHeight="1">
      <c r="A303" s="3"/>
      <c r="B303" s="3"/>
      <c r="C303" s="3"/>
      <c r="D303" s="3"/>
      <c r="E303" s="3"/>
      <c r="F303" s="3"/>
      <c r="G303" s="3"/>
      <c r="H303" s="3"/>
      <c r="I303" s="3"/>
      <c r="J303" s="3"/>
    </row>
    <row r="304" ht="15.75" customHeight="1">
      <c r="A304" s="3"/>
      <c r="B304" s="3"/>
      <c r="C304" s="3"/>
      <c r="D304" s="3"/>
      <c r="E304" s="3"/>
      <c r="F304" s="3"/>
      <c r="G304" s="3"/>
      <c r="H304" s="3"/>
      <c r="I304" s="3"/>
      <c r="J304" s="3"/>
    </row>
    <row r="305" ht="15.75" customHeight="1">
      <c r="A305" s="3"/>
      <c r="B305" s="3"/>
      <c r="C305" s="3"/>
      <c r="D305" s="3"/>
      <c r="E305" s="3"/>
      <c r="F305" s="3"/>
      <c r="G305" s="3"/>
      <c r="H305" s="3"/>
      <c r="I305" s="3"/>
      <c r="J305" s="3"/>
    </row>
    <row r="306" ht="15.75" customHeight="1">
      <c r="A306" s="3"/>
      <c r="B306" s="3"/>
      <c r="C306" s="3"/>
      <c r="D306" s="3"/>
      <c r="E306" s="3"/>
      <c r="F306" s="3"/>
      <c r="G306" s="3"/>
      <c r="H306" s="3"/>
      <c r="I306" s="3"/>
      <c r="J306" s="3"/>
    </row>
    <row r="307" ht="15.75" customHeight="1">
      <c r="A307" s="3"/>
      <c r="B307" s="3"/>
      <c r="C307" s="3"/>
      <c r="D307" s="3"/>
      <c r="E307" s="3"/>
      <c r="F307" s="3"/>
      <c r="G307" s="3"/>
      <c r="H307" s="3"/>
      <c r="I307" s="3"/>
      <c r="J307" s="3"/>
    </row>
    <row r="308" ht="15.75" customHeight="1">
      <c r="A308" s="3"/>
      <c r="B308" s="3"/>
      <c r="C308" s="3"/>
      <c r="D308" s="3"/>
      <c r="E308" s="3"/>
      <c r="F308" s="3"/>
      <c r="G308" s="3"/>
      <c r="H308" s="3"/>
      <c r="I308" s="3"/>
      <c r="J308" s="3"/>
    </row>
    <row r="309" ht="15.75" customHeight="1">
      <c r="A309" s="3"/>
      <c r="B309" s="3"/>
      <c r="C309" s="3"/>
      <c r="D309" s="3"/>
      <c r="E309" s="3"/>
      <c r="F309" s="3"/>
      <c r="G309" s="3"/>
      <c r="H309" s="3"/>
      <c r="I309" s="3"/>
      <c r="J309" s="3"/>
    </row>
    <row r="310" ht="15.75" customHeight="1">
      <c r="A310" s="3"/>
      <c r="B310" s="3"/>
      <c r="C310" s="3"/>
      <c r="D310" s="3"/>
      <c r="E310" s="3"/>
      <c r="F310" s="3"/>
      <c r="G310" s="3"/>
      <c r="H310" s="3"/>
      <c r="I310" s="3"/>
      <c r="J310" s="3"/>
    </row>
    <row r="311" ht="15.75" customHeight="1">
      <c r="A311" s="3"/>
      <c r="B311" s="3"/>
      <c r="C311" s="3"/>
      <c r="D311" s="3"/>
      <c r="E311" s="3"/>
      <c r="F311" s="3"/>
      <c r="G311" s="3"/>
      <c r="H311" s="3"/>
      <c r="I311" s="3"/>
      <c r="J311" s="3"/>
    </row>
    <row r="312" ht="15.75" customHeight="1">
      <c r="A312" s="3"/>
      <c r="B312" s="3"/>
      <c r="C312" s="3"/>
      <c r="D312" s="3"/>
      <c r="E312" s="3"/>
      <c r="F312" s="3"/>
      <c r="G312" s="3"/>
      <c r="H312" s="3"/>
      <c r="I312" s="3"/>
      <c r="J312" s="3"/>
    </row>
    <row r="313" ht="15.75" customHeight="1">
      <c r="A313" s="3"/>
      <c r="B313" s="3"/>
      <c r="C313" s="3"/>
      <c r="D313" s="3"/>
      <c r="E313" s="3"/>
      <c r="F313" s="3"/>
      <c r="G313" s="3"/>
      <c r="H313" s="3"/>
      <c r="I313" s="3"/>
      <c r="J313" s="3"/>
    </row>
    <row r="314" ht="15.75" customHeight="1">
      <c r="A314" s="3"/>
      <c r="B314" s="3"/>
      <c r="C314" s="3"/>
      <c r="D314" s="3"/>
      <c r="E314" s="3"/>
      <c r="F314" s="3"/>
      <c r="G314" s="3"/>
      <c r="H314" s="3"/>
      <c r="I314" s="3"/>
      <c r="J314" s="3"/>
    </row>
    <row r="315" ht="15.75" customHeight="1">
      <c r="A315" s="3"/>
      <c r="B315" s="3"/>
      <c r="C315" s="3"/>
      <c r="D315" s="3"/>
      <c r="E315" s="3"/>
      <c r="F315" s="3"/>
      <c r="G315" s="3"/>
      <c r="H315" s="3"/>
      <c r="I315" s="3"/>
      <c r="J315" s="3"/>
    </row>
    <row r="316" ht="15.75" customHeight="1">
      <c r="A316" s="3"/>
      <c r="B316" s="3"/>
      <c r="C316" s="3"/>
      <c r="D316" s="3"/>
      <c r="E316" s="3"/>
      <c r="F316" s="3"/>
      <c r="G316" s="3"/>
      <c r="H316" s="3"/>
      <c r="I316" s="3"/>
      <c r="J316" s="3"/>
    </row>
    <row r="317" ht="15.75" customHeight="1">
      <c r="A317" s="3"/>
      <c r="B317" s="3"/>
      <c r="C317" s="3"/>
      <c r="D317" s="3"/>
      <c r="E317" s="3"/>
      <c r="F317" s="3"/>
      <c r="G317" s="3"/>
      <c r="H317" s="3"/>
      <c r="I317" s="3"/>
      <c r="J317" s="3"/>
    </row>
    <row r="318" ht="15.75" customHeight="1">
      <c r="A318" s="3"/>
      <c r="B318" s="3"/>
      <c r="C318" s="3"/>
      <c r="D318" s="3"/>
      <c r="E318" s="3"/>
      <c r="F318" s="3"/>
      <c r="G318" s="3"/>
      <c r="H318" s="3"/>
      <c r="I318" s="3"/>
      <c r="J318" s="3"/>
    </row>
    <row r="319" ht="15.75" customHeight="1">
      <c r="A319" s="3"/>
      <c r="B319" s="3"/>
      <c r="C319" s="3"/>
      <c r="D319" s="3"/>
      <c r="E319" s="3"/>
      <c r="F319" s="3"/>
      <c r="G319" s="3"/>
      <c r="H319" s="3"/>
      <c r="I319" s="3"/>
      <c r="J319" s="3"/>
    </row>
    <row r="320" ht="15.75" customHeight="1">
      <c r="A320" s="3"/>
      <c r="B320" s="3"/>
      <c r="C320" s="3"/>
      <c r="D320" s="3"/>
      <c r="E320" s="3"/>
      <c r="F320" s="3"/>
      <c r="G320" s="3"/>
      <c r="H320" s="3"/>
      <c r="I320" s="3"/>
      <c r="J320" s="3"/>
    </row>
    <row r="321" ht="15.75" customHeight="1">
      <c r="A321" s="3"/>
      <c r="B321" s="3"/>
      <c r="C321" s="3"/>
      <c r="D321" s="3"/>
      <c r="E321" s="3"/>
      <c r="F321" s="3"/>
      <c r="G321" s="3"/>
      <c r="H321" s="3"/>
      <c r="I321" s="3"/>
      <c r="J321" s="3"/>
    </row>
    <row r="322" ht="15.75" customHeight="1">
      <c r="A322" s="3"/>
      <c r="B322" s="3"/>
      <c r="C322" s="3"/>
      <c r="D322" s="3"/>
      <c r="E322" s="3"/>
      <c r="F322" s="3"/>
      <c r="G322" s="3"/>
      <c r="H322" s="3"/>
      <c r="I322" s="3"/>
      <c r="J322" s="3"/>
    </row>
    <row r="323" ht="15.75" customHeight="1">
      <c r="A323" s="3"/>
      <c r="B323" s="3"/>
      <c r="C323" s="3"/>
      <c r="D323" s="3"/>
      <c r="E323" s="3"/>
      <c r="F323" s="3"/>
      <c r="G323" s="3"/>
      <c r="H323" s="3"/>
      <c r="I323" s="3"/>
      <c r="J323" s="3"/>
    </row>
    <row r="324" ht="15.75" customHeight="1">
      <c r="A324" s="3"/>
      <c r="B324" s="3"/>
      <c r="C324" s="3"/>
      <c r="D324" s="3"/>
      <c r="E324" s="3"/>
      <c r="F324" s="3"/>
      <c r="G324" s="3"/>
      <c r="H324" s="3"/>
      <c r="I324" s="3"/>
      <c r="J324" s="3"/>
    </row>
    <row r="325" ht="15.75" customHeight="1">
      <c r="A325" s="3"/>
      <c r="B325" s="3"/>
      <c r="C325" s="3"/>
      <c r="D325" s="3"/>
      <c r="E325" s="3"/>
      <c r="F325" s="3"/>
      <c r="G325" s="3"/>
      <c r="H325" s="3"/>
      <c r="I325" s="3"/>
      <c r="J325" s="3"/>
    </row>
    <row r="326" ht="15.75" customHeight="1">
      <c r="A326" s="3"/>
      <c r="B326" s="3"/>
      <c r="C326" s="3"/>
      <c r="D326" s="3"/>
      <c r="E326" s="3"/>
      <c r="F326" s="3"/>
      <c r="G326" s="3"/>
      <c r="H326" s="3"/>
      <c r="I326" s="3"/>
      <c r="J326" s="3"/>
    </row>
    <row r="327" ht="15.75" customHeight="1">
      <c r="A327" s="3"/>
      <c r="B327" s="3"/>
      <c r="C327" s="3"/>
      <c r="D327" s="3"/>
      <c r="E327" s="3"/>
      <c r="F327" s="3"/>
      <c r="G327" s="3"/>
      <c r="H327" s="3"/>
      <c r="I327" s="3"/>
      <c r="J327" s="3"/>
    </row>
    <row r="328" ht="15.75" customHeight="1">
      <c r="A328" s="3"/>
      <c r="B328" s="3"/>
      <c r="C328" s="3"/>
      <c r="D328" s="3"/>
      <c r="E328" s="3"/>
      <c r="F328" s="3"/>
      <c r="G328" s="3"/>
      <c r="H328" s="3"/>
      <c r="I328" s="3"/>
      <c r="J328" s="3"/>
    </row>
    <row r="329" ht="15.75" customHeight="1">
      <c r="A329" s="3"/>
      <c r="B329" s="3"/>
      <c r="C329" s="3"/>
      <c r="D329" s="3"/>
      <c r="E329" s="3"/>
      <c r="F329" s="3"/>
      <c r="G329" s="3"/>
      <c r="H329" s="3"/>
      <c r="I329" s="3"/>
      <c r="J329" s="3"/>
    </row>
    <row r="330" ht="15.75" customHeight="1">
      <c r="A330" s="3"/>
      <c r="B330" s="3"/>
      <c r="C330" s="3"/>
      <c r="D330" s="3"/>
      <c r="E330" s="3"/>
      <c r="F330" s="3"/>
      <c r="G330" s="3"/>
      <c r="H330" s="3"/>
      <c r="I330" s="3"/>
      <c r="J330" s="3"/>
    </row>
    <row r="331" ht="15.75" customHeight="1">
      <c r="A331" s="3"/>
      <c r="B331" s="3"/>
      <c r="C331" s="3"/>
      <c r="D331" s="3"/>
      <c r="E331" s="3"/>
      <c r="F331" s="3"/>
      <c r="G331" s="3"/>
      <c r="H331" s="3"/>
      <c r="I331" s="3"/>
      <c r="J331" s="3"/>
    </row>
    <row r="332" ht="15.75" customHeight="1">
      <c r="A332" s="3"/>
      <c r="B332" s="3"/>
      <c r="C332" s="3"/>
      <c r="D332" s="3"/>
      <c r="E332" s="3"/>
      <c r="F332" s="3"/>
      <c r="G332" s="3"/>
      <c r="H332" s="3"/>
      <c r="I332" s="3"/>
      <c r="J332" s="3"/>
    </row>
    <row r="333" ht="15.75" customHeight="1">
      <c r="A333" s="3"/>
      <c r="B333" s="3"/>
      <c r="C333" s="3"/>
      <c r="D333" s="3"/>
      <c r="E333" s="3"/>
      <c r="F333" s="3"/>
      <c r="G333" s="3"/>
      <c r="H333" s="3"/>
      <c r="I333" s="3"/>
      <c r="J333" s="3"/>
    </row>
    <row r="334" ht="15.75" customHeight="1">
      <c r="A334" s="3"/>
      <c r="B334" s="3"/>
      <c r="C334" s="3"/>
      <c r="D334" s="3"/>
      <c r="E334" s="3"/>
      <c r="F334" s="3"/>
      <c r="G334" s="3"/>
      <c r="H334" s="3"/>
      <c r="I334" s="3"/>
      <c r="J334" s="3"/>
    </row>
    <row r="335" ht="15.75" customHeight="1">
      <c r="A335" s="3"/>
      <c r="B335" s="3"/>
      <c r="C335" s="3"/>
      <c r="D335" s="3"/>
      <c r="E335" s="3"/>
      <c r="F335" s="3"/>
      <c r="G335" s="3"/>
      <c r="H335" s="3"/>
      <c r="I335" s="3"/>
      <c r="J335" s="3"/>
    </row>
    <row r="336" ht="15.75" customHeight="1">
      <c r="A336" s="3"/>
      <c r="B336" s="3"/>
      <c r="C336" s="3"/>
      <c r="D336" s="3"/>
      <c r="E336" s="3"/>
      <c r="F336" s="3"/>
      <c r="G336" s="3"/>
      <c r="H336" s="3"/>
      <c r="I336" s="3"/>
      <c r="J336" s="3"/>
    </row>
    <row r="337" ht="15.75" customHeight="1">
      <c r="A337" s="3"/>
      <c r="B337" s="3"/>
      <c r="C337" s="3"/>
      <c r="D337" s="3"/>
      <c r="E337" s="3"/>
      <c r="F337" s="3"/>
      <c r="G337" s="3"/>
      <c r="H337" s="3"/>
      <c r="I337" s="3"/>
      <c r="J337" s="3"/>
    </row>
    <row r="338" ht="15.75" customHeight="1">
      <c r="A338" s="3"/>
      <c r="B338" s="3"/>
      <c r="C338" s="3"/>
      <c r="D338" s="3"/>
      <c r="E338" s="3"/>
      <c r="F338" s="3"/>
      <c r="G338" s="3"/>
      <c r="H338" s="3"/>
      <c r="I338" s="3"/>
      <c r="J338" s="3"/>
    </row>
    <row r="339" ht="15.75" customHeight="1">
      <c r="A339" s="3"/>
      <c r="B339" s="3"/>
      <c r="C339" s="3"/>
      <c r="D339" s="3"/>
      <c r="E339" s="3"/>
      <c r="F339" s="3"/>
      <c r="G339" s="3"/>
      <c r="H339" s="3"/>
      <c r="I339" s="3"/>
      <c r="J339" s="3"/>
    </row>
    <row r="340" ht="15.75" customHeight="1">
      <c r="A340" s="3"/>
      <c r="B340" s="3"/>
      <c r="C340" s="3"/>
      <c r="D340" s="3"/>
      <c r="E340" s="3"/>
      <c r="F340" s="3"/>
      <c r="G340" s="3"/>
      <c r="H340" s="3"/>
      <c r="I340" s="3"/>
      <c r="J340" s="3"/>
    </row>
    <row r="341" ht="15.75" customHeight="1">
      <c r="A341" s="3"/>
      <c r="B341" s="3"/>
      <c r="C341" s="3"/>
      <c r="D341" s="3"/>
      <c r="E341" s="3"/>
      <c r="F341" s="3"/>
      <c r="G341" s="3"/>
      <c r="H341" s="3"/>
      <c r="I341" s="3"/>
      <c r="J341" s="3"/>
    </row>
    <row r="342" ht="15.75" customHeight="1">
      <c r="A342" s="3"/>
      <c r="B342" s="3"/>
      <c r="C342" s="3"/>
      <c r="D342" s="3"/>
      <c r="E342" s="3"/>
      <c r="F342" s="3"/>
      <c r="G342" s="3"/>
      <c r="H342" s="3"/>
      <c r="I342" s="3"/>
      <c r="J342" s="3"/>
    </row>
    <row r="343" ht="15.75" customHeight="1">
      <c r="A343" s="3"/>
      <c r="B343" s="3"/>
      <c r="C343" s="3"/>
      <c r="D343" s="3"/>
      <c r="E343" s="3"/>
      <c r="F343" s="3"/>
      <c r="G343" s="3"/>
      <c r="H343" s="3"/>
      <c r="I343" s="3"/>
      <c r="J343" s="3"/>
    </row>
    <row r="344" ht="15.75" customHeight="1">
      <c r="A344" s="3"/>
      <c r="B344" s="3"/>
      <c r="C344" s="3"/>
      <c r="D344" s="3"/>
      <c r="E344" s="3"/>
      <c r="F344" s="3"/>
      <c r="G344" s="3"/>
      <c r="H344" s="3"/>
      <c r="I344" s="3"/>
      <c r="J344" s="3"/>
    </row>
    <row r="345" ht="15.75" customHeight="1">
      <c r="A345" s="3"/>
      <c r="B345" s="3"/>
      <c r="C345" s="3"/>
      <c r="D345" s="3"/>
      <c r="E345" s="3"/>
      <c r="F345" s="3"/>
      <c r="G345" s="3"/>
      <c r="H345" s="3"/>
      <c r="I345" s="3"/>
      <c r="J345" s="3"/>
    </row>
    <row r="346" ht="15.75" customHeight="1">
      <c r="A346" s="3"/>
      <c r="B346" s="3"/>
      <c r="C346" s="3"/>
      <c r="D346" s="3"/>
      <c r="E346" s="3"/>
      <c r="F346" s="3"/>
      <c r="G346" s="3"/>
      <c r="H346" s="3"/>
      <c r="I346" s="3"/>
      <c r="J346" s="3"/>
    </row>
    <row r="347" ht="15.75" customHeight="1">
      <c r="A347" s="3"/>
      <c r="B347" s="3"/>
      <c r="C347" s="3"/>
      <c r="D347" s="3"/>
      <c r="E347" s="3"/>
      <c r="F347" s="3"/>
      <c r="G347" s="3"/>
      <c r="H347" s="3"/>
      <c r="I347" s="3"/>
      <c r="J347" s="3"/>
    </row>
    <row r="348" ht="15.75" customHeight="1">
      <c r="A348" s="3"/>
      <c r="B348" s="3"/>
      <c r="C348" s="3"/>
      <c r="D348" s="3"/>
      <c r="E348" s="3"/>
      <c r="F348" s="3"/>
      <c r="G348" s="3"/>
      <c r="H348" s="3"/>
      <c r="I348" s="3"/>
      <c r="J348" s="3"/>
    </row>
    <row r="349" ht="15.75" customHeight="1">
      <c r="A349" s="3"/>
      <c r="B349" s="3"/>
      <c r="C349" s="3"/>
      <c r="D349" s="3"/>
      <c r="E349" s="3"/>
      <c r="F349" s="3"/>
      <c r="G349" s="3"/>
      <c r="H349" s="3"/>
      <c r="I349" s="3"/>
      <c r="J349" s="3"/>
    </row>
    <row r="350" ht="15.75" customHeight="1">
      <c r="A350" s="3"/>
      <c r="B350" s="3"/>
      <c r="C350" s="3"/>
      <c r="D350" s="3"/>
      <c r="E350" s="3"/>
      <c r="F350" s="3"/>
      <c r="G350" s="3"/>
      <c r="H350" s="3"/>
      <c r="I350" s="3"/>
      <c r="J350" s="3"/>
    </row>
    <row r="351" ht="15.75" customHeight="1">
      <c r="A351" s="3"/>
      <c r="B351" s="3"/>
      <c r="C351" s="3"/>
      <c r="D351" s="3"/>
      <c r="E351" s="3"/>
      <c r="F351" s="3"/>
      <c r="G351" s="3"/>
      <c r="H351" s="3"/>
      <c r="I351" s="3"/>
      <c r="J351" s="3"/>
    </row>
    <row r="352" ht="15.75" customHeight="1">
      <c r="A352" s="3"/>
      <c r="B352" s="3"/>
      <c r="C352" s="3"/>
      <c r="D352" s="3"/>
      <c r="E352" s="3"/>
      <c r="F352" s="3"/>
      <c r="G352" s="3"/>
      <c r="H352" s="3"/>
      <c r="I352" s="3"/>
      <c r="J352" s="3"/>
    </row>
    <row r="353" ht="15.75" customHeight="1">
      <c r="A353" s="3"/>
      <c r="B353" s="3"/>
      <c r="C353" s="3"/>
      <c r="D353" s="3"/>
      <c r="E353" s="3"/>
      <c r="F353" s="3"/>
      <c r="G353" s="3"/>
      <c r="H353" s="3"/>
      <c r="I353" s="3"/>
      <c r="J353" s="3"/>
    </row>
    <row r="354" ht="15.75" customHeight="1">
      <c r="A354" s="3"/>
      <c r="B354" s="3"/>
      <c r="C354" s="3"/>
      <c r="D354" s="3"/>
      <c r="E354" s="3"/>
      <c r="F354" s="3"/>
      <c r="G354" s="3"/>
      <c r="H354" s="3"/>
      <c r="I354" s="3"/>
      <c r="J354" s="3"/>
    </row>
    <row r="355" ht="15.75" customHeight="1">
      <c r="A355" s="3"/>
      <c r="B355" s="3"/>
      <c r="C355" s="3"/>
      <c r="D355" s="3"/>
      <c r="E355" s="3"/>
      <c r="F355" s="3"/>
      <c r="G355" s="3"/>
      <c r="H355" s="3"/>
      <c r="I355" s="3"/>
      <c r="J355" s="3"/>
    </row>
    <row r="356" ht="15.75" customHeight="1">
      <c r="A356" s="3"/>
      <c r="B356" s="3"/>
      <c r="C356" s="3"/>
      <c r="D356" s="3"/>
      <c r="E356" s="3"/>
      <c r="F356" s="3"/>
      <c r="G356" s="3"/>
      <c r="H356" s="3"/>
      <c r="I356" s="3"/>
      <c r="J356" s="3"/>
    </row>
    <row r="357" ht="15.75" customHeight="1">
      <c r="A357" s="3"/>
      <c r="B357" s="3"/>
      <c r="C357" s="3"/>
      <c r="D357" s="3"/>
      <c r="E357" s="3"/>
      <c r="F357" s="3"/>
      <c r="G357" s="3"/>
      <c r="H357" s="3"/>
      <c r="I357" s="3"/>
      <c r="J357" s="3"/>
    </row>
    <row r="358" ht="15.75" customHeight="1">
      <c r="A358" s="3"/>
      <c r="B358" s="3"/>
      <c r="C358" s="3"/>
      <c r="D358" s="3"/>
      <c r="E358" s="3"/>
      <c r="F358" s="3"/>
      <c r="G358" s="3"/>
      <c r="H358" s="3"/>
      <c r="I358" s="3"/>
      <c r="J358" s="3"/>
    </row>
    <row r="359" ht="15.75" customHeight="1">
      <c r="A359" s="3"/>
      <c r="B359" s="3"/>
      <c r="C359" s="3"/>
      <c r="D359" s="3"/>
      <c r="E359" s="3"/>
      <c r="F359" s="3"/>
      <c r="G359" s="3"/>
      <c r="H359" s="3"/>
      <c r="I359" s="3"/>
      <c r="J359" s="3"/>
    </row>
    <row r="360" ht="15.75" customHeight="1">
      <c r="A360" s="3"/>
      <c r="B360" s="3"/>
      <c r="C360" s="3"/>
      <c r="D360" s="3"/>
      <c r="E360" s="3"/>
      <c r="F360" s="3"/>
      <c r="G360" s="3"/>
      <c r="H360" s="3"/>
      <c r="I360" s="3"/>
      <c r="J360" s="3"/>
    </row>
    <row r="361" ht="15.75" customHeight="1">
      <c r="A361" s="3"/>
      <c r="B361" s="3"/>
      <c r="C361" s="3"/>
      <c r="D361" s="3"/>
      <c r="E361" s="3"/>
      <c r="F361" s="3"/>
      <c r="G361" s="3"/>
      <c r="H361" s="3"/>
      <c r="I361" s="3"/>
      <c r="J361" s="3"/>
    </row>
    <row r="362" ht="15.75" customHeight="1">
      <c r="A362" s="3"/>
      <c r="B362" s="3"/>
      <c r="C362" s="3"/>
      <c r="D362" s="3"/>
      <c r="E362" s="3"/>
      <c r="F362" s="3"/>
      <c r="G362" s="3"/>
      <c r="H362" s="3"/>
      <c r="I362" s="3"/>
      <c r="J362" s="3"/>
    </row>
    <row r="363" ht="15.75" customHeight="1">
      <c r="A363" s="3"/>
      <c r="B363" s="3"/>
      <c r="C363" s="3"/>
      <c r="D363" s="3"/>
      <c r="E363" s="3"/>
      <c r="F363" s="3"/>
      <c r="G363" s="3"/>
      <c r="H363" s="3"/>
      <c r="I363" s="3"/>
      <c r="J363" s="3"/>
    </row>
    <row r="364" ht="15.75" customHeight="1">
      <c r="A364" s="3"/>
      <c r="B364" s="3"/>
      <c r="C364" s="3"/>
      <c r="D364" s="3"/>
      <c r="E364" s="3"/>
      <c r="F364" s="3"/>
      <c r="G364" s="3"/>
      <c r="H364" s="3"/>
      <c r="I364" s="3"/>
      <c r="J364" s="3"/>
    </row>
    <row r="365" ht="15.75" customHeight="1">
      <c r="A365" s="3"/>
      <c r="B365" s="3"/>
      <c r="C365" s="3"/>
      <c r="D365" s="3"/>
      <c r="E365" s="3"/>
      <c r="F365" s="3"/>
      <c r="G365" s="3"/>
      <c r="H365" s="3"/>
      <c r="I365" s="3"/>
      <c r="J365" s="3"/>
    </row>
    <row r="366" ht="15.75" customHeight="1">
      <c r="A366" s="3"/>
      <c r="B366" s="3"/>
      <c r="C366" s="3"/>
      <c r="D366" s="3"/>
      <c r="E366" s="3"/>
      <c r="F366" s="3"/>
      <c r="G366" s="3"/>
      <c r="H366" s="3"/>
      <c r="I366" s="3"/>
      <c r="J366" s="3"/>
    </row>
    <row r="367" ht="15.75" customHeight="1">
      <c r="A367" s="3"/>
      <c r="B367" s="3"/>
      <c r="C367" s="3"/>
      <c r="D367" s="3"/>
      <c r="E367" s="3"/>
      <c r="F367" s="3"/>
      <c r="G367" s="3"/>
      <c r="H367" s="3"/>
      <c r="I367" s="3"/>
      <c r="J367" s="3"/>
    </row>
    <row r="368" ht="15.75" customHeight="1">
      <c r="A368" s="3"/>
      <c r="B368" s="3"/>
      <c r="C368" s="3"/>
      <c r="D368" s="3"/>
      <c r="E368" s="3"/>
      <c r="F368" s="3"/>
      <c r="G368" s="3"/>
      <c r="H368" s="3"/>
      <c r="I368" s="3"/>
      <c r="J368" s="3"/>
    </row>
    <row r="369" ht="15.75" customHeight="1">
      <c r="A369" s="3"/>
      <c r="B369" s="3"/>
      <c r="C369" s="3"/>
      <c r="D369" s="3"/>
      <c r="E369" s="3"/>
      <c r="F369" s="3"/>
      <c r="G369" s="3"/>
      <c r="H369" s="3"/>
      <c r="I369" s="3"/>
      <c r="J369" s="3"/>
    </row>
    <row r="370" ht="15.75" customHeight="1">
      <c r="A370" s="3"/>
      <c r="B370" s="3"/>
      <c r="C370" s="3"/>
      <c r="D370" s="3"/>
      <c r="E370" s="3"/>
      <c r="F370" s="3"/>
      <c r="G370" s="3"/>
      <c r="H370" s="3"/>
      <c r="I370" s="3"/>
      <c r="J370" s="3"/>
    </row>
    <row r="371" ht="15.75" customHeight="1">
      <c r="A371" s="3"/>
      <c r="B371" s="3"/>
      <c r="C371" s="3"/>
      <c r="D371" s="3"/>
      <c r="E371" s="3"/>
      <c r="F371" s="3"/>
      <c r="G371" s="3"/>
      <c r="H371" s="3"/>
      <c r="I371" s="3"/>
      <c r="J371" s="3"/>
    </row>
    <row r="372" ht="15.75" customHeight="1">
      <c r="A372" s="3"/>
      <c r="B372" s="3"/>
      <c r="C372" s="3"/>
      <c r="D372" s="3"/>
      <c r="E372" s="3"/>
      <c r="F372" s="3"/>
      <c r="G372" s="3"/>
      <c r="H372" s="3"/>
      <c r="I372" s="3"/>
      <c r="J372" s="3"/>
    </row>
    <row r="373" ht="15.75" customHeight="1">
      <c r="A373" s="3"/>
      <c r="B373" s="3"/>
      <c r="C373" s="3"/>
      <c r="D373" s="3"/>
      <c r="E373" s="3"/>
      <c r="F373" s="3"/>
      <c r="G373" s="3"/>
      <c r="H373" s="3"/>
      <c r="I373" s="3"/>
      <c r="J373" s="3"/>
    </row>
    <row r="374" ht="15.75" customHeight="1">
      <c r="A374" s="3"/>
      <c r="B374" s="3"/>
      <c r="C374" s="3"/>
      <c r="D374" s="3"/>
      <c r="E374" s="3"/>
      <c r="F374" s="3"/>
      <c r="G374" s="3"/>
      <c r="H374" s="3"/>
      <c r="I374" s="3"/>
      <c r="J374" s="3"/>
    </row>
    <row r="375" ht="15.75" customHeight="1">
      <c r="A375" s="3"/>
      <c r="B375" s="3"/>
      <c r="C375" s="3"/>
      <c r="D375" s="3"/>
      <c r="E375" s="3"/>
      <c r="F375" s="3"/>
      <c r="G375" s="3"/>
      <c r="H375" s="3"/>
      <c r="I375" s="3"/>
      <c r="J375" s="3"/>
    </row>
    <row r="376" ht="15.75" customHeight="1">
      <c r="A376" s="3"/>
      <c r="B376" s="3"/>
      <c r="C376" s="3"/>
      <c r="D376" s="3"/>
      <c r="E376" s="3"/>
      <c r="F376" s="3"/>
      <c r="G376" s="3"/>
      <c r="H376" s="3"/>
      <c r="I376" s="3"/>
      <c r="J376" s="3"/>
    </row>
    <row r="377" ht="15.75" customHeight="1">
      <c r="A377" s="3"/>
      <c r="B377" s="3"/>
      <c r="C377" s="3"/>
      <c r="D377" s="3"/>
      <c r="E377" s="3"/>
      <c r="F377" s="3"/>
      <c r="G377" s="3"/>
      <c r="H377" s="3"/>
      <c r="I377" s="3"/>
      <c r="J377" s="3"/>
    </row>
    <row r="378" ht="15.75" customHeight="1">
      <c r="A378" s="3"/>
      <c r="B378" s="3"/>
      <c r="C378" s="3"/>
      <c r="D378" s="3"/>
      <c r="E378" s="3"/>
      <c r="F378" s="3"/>
      <c r="G378" s="3"/>
      <c r="H378" s="3"/>
      <c r="I378" s="3"/>
      <c r="J378" s="3"/>
    </row>
    <row r="379" ht="15.75" customHeight="1">
      <c r="A379" s="3"/>
      <c r="B379" s="3"/>
      <c r="C379" s="3"/>
      <c r="D379" s="3"/>
      <c r="E379" s="3"/>
      <c r="F379" s="3"/>
      <c r="G379" s="3"/>
      <c r="H379" s="3"/>
      <c r="I379" s="3"/>
      <c r="J379" s="3"/>
    </row>
    <row r="380" ht="15.75" customHeight="1">
      <c r="A380" s="3"/>
      <c r="B380" s="3"/>
      <c r="C380" s="3"/>
      <c r="D380" s="3"/>
      <c r="E380" s="3"/>
      <c r="F380" s="3"/>
      <c r="G380" s="3"/>
      <c r="H380" s="3"/>
      <c r="I380" s="3"/>
      <c r="J380" s="3"/>
    </row>
    <row r="381" ht="15.75" customHeight="1">
      <c r="A381" s="3"/>
      <c r="B381" s="3"/>
      <c r="C381" s="3"/>
      <c r="D381" s="3"/>
      <c r="E381" s="3"/>
      <c r="F381" s="3"/>
      <c r="G381" s="3"/>
      <c r="H381" s="3"/>
      <c r="I381" s="3"/>
      <c r="J381" s="3"/>
    </row>
    <row r="382" ht="15.75" customHeight="1">
      <c r="A382" s="3"/>
      <c r="B382" s="3"/>
      <c r="C382" s="3"/>
      <c r="D382" s="3"/>
      <c r="E382" s="3"/>
      <c r="F382" s="3"/>
      <c r="G382" s="3"/>
      <c r="H382" s="3"/>
      <c r="I382" s="3"/>
      <c r="J382" s="3"/>
    </row>
    <row r="383" ht="15.75" customHeight="1">
      <c r="A383" s="3"/>
      <c r="B383" s="3"/>
      <c r="C383" s="3"/>
      <c r="D383" s="3"/>
      <c r="E383" s="3"/>
      <c r="F383" s="3"/>
      <c r="G383" s="3"/>
      <c r="H383" s="3"/>
      <c r="I383" s="3"/>
      <c r="J383" s="3"/>
    </row>
    <row r="384" ht="15.75" customHeight="1">
      <c r="A384" s="3"/>
      <c r="B384" s="3"/>
      <c r="C384" s="3"/>
      <c r="D384" s="3"/>
      <c r="E384" s="3"/>
      <c r="F384" s="3"/>
      <c r="G384" s="3"/>
      <c r="H384" s="3"/>
      <c r="I384" s="3"/>
      <c r="J384" s="3"/>
    </row>
    <row r="385" ht="15.75" customHeight="1">
      <c r="A385" s="3"/>
      <c r="B385" s="3"/>
      <c r="C385" s="3"/>
      <c r="D385" s="3"/>
      <c r="E385" s="3"/>
      <c r="F385" s="3"/>
      <c r="G385" s="3"/>
      <c r="H385" s="3"/>
      <c r="I385" s="3"/>
      <c r="J385" s="3"/>
    </row>
    <row r="386" ht="15.75" customHeight="1">
      <c r="A386" s="3"/>
      <c r="B386" s="3"/>
      <c r="C386" s="3"/>
      <c r="D386" s="3"/>
      <c r="E386" s="3"/>
      <c r="F386" s="3"/>
      <c r="G386" s="3"/>
      <c r="H386" s="3"/>
      <c r="I386" s="3"/>
      <c r="J386" s="3"/>
    </row>
    <row r="387" ht="15.75" customHeight="1">
      <c r="A387" s="3"/>
      <c r="B387" s="3"/>
      <c r="C387" s="3"/>
      <c r="D387" s="3"/>
      <c r="E387" s="3"/>
      <c r="F387" s="3"/>
      <c r="G387" s="3"/>
      <c r="H387" s="3"/>
      <c r="I387" s="3"/>
      <c r="J387" s="3"/>
    </row>
    <row r="388" ht="15.75" customHeight="1">
      <c r="A388" s="3"/>
      <c r="B388" s="3"/>
      <c r="C388" s="3"/>
      <c r="D388" s="3"/>
      <c r="E388" s="3"/>
      <c r="F388" s="3"/>
      <c r="G388" s="3"/>
      <c r="H388" s="3"/>
      <c r="I388" s="3"/>
      <c r="J388" s="3"/>
    </row>
    <row r="389" ht="15.75" customHeight="1">
      <c r="A389" s="3"/>
      <c r="B389" s="3"/>
      <c r="C389" s="3"/>
      <c r="D389" s="3"/>
      <c r="E389" s="3"/>
      <c r="F389" s="3"/>
      <c r="G389" s="3"/>
      <c r="H389" s="3"/>
      <c r="I389" s="3"/>
      <c r="J389" s="3"/>
    </row>
    <row r="390" ht="15.75" customHeight="1">
      <c r="A390" s="3"/>
      <c r="B390" s="3"/>
      <c r="C390" s="3"/>
      <c r="D390" s="3"/>
      <c r="E390" s="3"/>
      <c r="F390" s="3"/>
      <c r="G390" s="3"/>
      <c r="H390" s="3"/>
      <c r="I390" s="3"/>
      <c r="J390" s="3"/>
    </row>
    <row r="391" ht="15.75" customHeight="1">
      <c r="A391" s="3"/>
      <c r="B391" s="3"/>
      <c r="C391" s="3"/>
      <c r="D391" s="3"/>
      <c r="E391" s="3"/>
      <c r="F391" s="3"/>
      <c r="G391" s="3"/>
      <c r="H391" s="3"/>
      <c r="I391" s="3"/>
      <c r="J391" s="3"/>
    </row>
    <row r="392" ht="15.75" customHeight="1">
      <c r="A392" s="3"/>
      <c r="B392" s="3"/>
      <c r="C392" s="3"/>
      <c r="D392" s="3"/>
      <c r="E392" s="3"/>
      <c r="F392" s="3"/>
      <c r="G392" s="3"/>
      <c r="H392" s="3"/>
      <c r="I392" s="3"/>
      <c r="J392" s="3"/>
    </row>
    <row r="393" ht="15.75" customHeight="1">
      <c r="A393" s="3"/>
      <c r="B393" s="3"/>
      <c r="C393" s="3"/>
      <c r="D393" s="3"/>
      <c r="E393" s="3"/>
      <c r="F393" s="3"/>
      <c r="G393" s="3"/>
      <c r="H393" s="3"/>
      <c r="I393" s="3"/>
      <c r="J393" s="3"/>
    </row>
    <row r="394" ht="15.75" customHeight="1">
      <c r="A394" s="3"/>
      <c r="B394" s="3"/>
      <c r="C394" s="3"/>
      <c r="D394" s="3"/>
      <c r="E394" s="3"/>
      <c r="F394" s="3"/>
      <c r="G394" s="3"/>
      <c r="H394" s="3"/>
      <c r="I394" s="3"/>
      <c r="J394" s="3"/>
    </row>
    <row r="395" ht="15.75" customHeight="1">
      <c r="A395" s="3"/>
      <c r="B395" s="3"/>
      <c r="C395" s="3"/>
      <c r="D395" s="3"/>
      <c r="E395" s="3"/>
      <c r="F395" s="3"/>
      <c r="G395" s="3"/>
      <c r="H395" s="3"/>
      <c r="I395" s="3"/>
      <c r="J395" s="3"/>
    </row>
    <row r="396" ht="15.75" customHeight="1">
      <c r="A396" s="3"/>
      <c r="B396" s="3"/>
      <c r="C396" s="3"/>
      <c r="D396" s="3"/>
      <c r="E396" s="3"/>
      <c r="F396" s="3"/>
      <c r="G396" s="3"/>
      <c r="H396" s="3"/>
      <c r="I396" s="3"/>
      <c r="J396" s="3"/>
    </row>
    <row r="397" ht="15.75" customHeight="1">
      <c r="A397" s="3"/>
      <c r="B397" s="3"/>
      <c r="C397" s="3"/>
      <c r="D397" s="3"/>
      <c r="E397" s="3"/>
      <c r="F397" s="3"/>
      <c r="G397" s="3"/>
      <c r="H397" s="3"/>
      <c r="I397" s="3"/>
      <c r="J397" s="3"/>
    </row>
    <row r="398" ht="15.75" customHeight="1">
      <c r="A398" s="3"/>
      <c r="B398" s="3"/>
      <c r="C398" s="3"/>
      <c r="D398" s="3"/>
      <c r="E398" s="3"/>
      <c r="F398" s="3"/>
      <c r="G398" s="3"/>
      <c r="H398" s="3"/>
      <c r="I398" s="3"/>
      <c r="J398" s="3"/>
    </row>
    <row r="399" ht="15.75" customHeight="1">
      <c r="A399" s="3"/>
      <c r="B399" s="3"/>
      <c r="C399" s="3"/>
      <c r="D399" s="3"/>
      <c r="E399" s="3"/>
      <c r="F399" s="3"/>
      <c r="G399" s="3"/>
      <c r="H399" s="3"/>
      <c r="I399" s="3"/>
      <c r="J399" s="3"/>
    </row>
    <row r="400" ht="15.75" customHeight="1">
      <c r="A400" s="3"/>
      <c r="B400" s="3"/>
      <c r="C400" s="3"/>
      <c r="D400" s="3"/>
      <c r="E400" s="3"/>
      <c r="F400" s="3"/>
      <c r="G400" s="3"/>
      <c r="H400" s="3"/>
      <c r="I400" s="3"/>
      <c r="J400" s="3"/>
    </row>
    <row r="401" ht="15.75" customHeight="1">
      <c r="A401" s="3"/>
      <c r="B401" s="3"/>
      <c r="C401" s="3"/>
      <c r="D401" s="3"/>
      <c r="E401" s="3"/>
      <c r="F401" s="3"/>
      <c r="G401" s="3"/>
      <c r="H401" s="3"/>
      <c r="I401" s="3"/>
      <c r="J401" s="3"/>
    </row>
    <row r="402" ht="15.75" customHeight="1">
      <c r="A402" s="3"/>
      <c r="B402" s="3"/>
      <c r="C402" s="3"/>
      <c r="D402" s="3"/>
      <c r="E402" s="3"/>
      <c r="F402" s="3"/>
      <c r="G402" s="3"/>
      <c r="H402" s="3"/>
      <c r="I402" s="3"/>
      <c r="J402" s="3"/>
    </row>
    <row r="403" ht="15.75" customHeight="1">
      <c r="A403" s="3"/>
      <c r="B403" s="3"/>
      <c r="C403" s="3"/>
      <c r="D403" s="3"/>
      <c r="E403" s="3"/>
      <c r="F403" s="3"/>
      <c r="G403" s="3"/>
      <c r="H403" s="3"/>
      <c r="I403" s="3"/>
      <c r="J403" s="3"/>
    </row>
    <row r="404" ht="15.75" customHeight="1">
      <c r="A404" s="3"/>
      <c r="B404" s="3"/>
      <c r="C404" s="3"/>
      <c r="D404" s="3"/>
      <c r="E404" s="3"/>
      <c r="F404" s="3"/>
      <c r="G404" s="3"/>
      <c r="H404" s="3"/>
      <c r="I404" s="3"/>
      <c r="J404" s="3"/>
    </row>
    <row r="405" ht="15.75" customHeight="1">
      <c r="A405" s="3"/>
      <c r="B405" s="3"/>
      <c r="C405" s="3"/>
      <c r="D405" s="3"/>
      <c r="E405" s="3"/>
      <c r="F405" s="3"/>
      <c r="G405" s="3"/>
      <c r="H405" s="3"/>
      <c r="I405" s="3"/>
      <c r="J405" s="3"/>
    </row>
    <row r="406" ht="15.75" customHeight="1">
      <c r="A406" s="3"/>
      <c r="B406" s="3"/>
      <c r="C406" s="3"/>
      <c r="D406" s="3"/>
      <c r="E406" s="3"/>
      <c r="F406" s="3"/>
      <c r="G406" s="3"/>
      <c r="H406" s="3"/>
      <c r="I406" s="3"/>
      <c r="J406" s="3"/>
    </row>
    <row r="407" ht="15.75" customHeight="1">
      <c r="A407" s="3"/>
      <c r="B407" s="3"/>
      <c r="C407" s="3"/>
      <c r="D407" s="3"/>
      <c r="E407" s="3"/>
      <c r="F407" s="3"/>
      <c r="G407" s="3"/>
      <c r="H407" s="3"/>
      <c r="I407" s="3"/>
      <c r="J407" s="3"/>
    </row>
    <row r="408" ht="15.75" customHeight="1">
      <c r="A408" s="3"/>
      <c r="B408" s="3"/>
      <c r="C408" s="3"/>
      <c r="D408" s="3"/>
      <c r="E408" s="3"/>
      <c r="F408" s="3"/>
      <c r="G408" s="3"/>
      <c r="H408" s="3"/>
      <c r="I408" s="3"/>
      <c r="J408" s="3"/>
    </row>
    <row r="409" ht="15.75" customHeight="1">
      <c r="A409" s="3"/>
      <c r="B409" s="3"/>
      <c r="C409" s="3"/>
      <c r="D409" s="3"/>
      <c r="E409" s="3"/>
      <c r="F409" s="3"/>
      <c r="G409" s="3"/>
      <c r="H409" s="3"/>
      <c r="I409" s="3"/>
      <c r="J409" s="3"/>
    </row>
    <row r="410" ht="15.75" customHeight="1">
      <c r="A410" s="3"/>
      <c r="B410" s="3"/>
      <c r="C410" s="3"/>
      <c r="D410" s="3"/>
      <c r="E410" s="3"/>
      <c r="F410" s="3"/>
      <c r="G410" s="3"/>
      <c r="H410" s="3"/>
      <c r="I410" s="3"/>
      <c r="J410" s="3"/>
    </row>
    <row r="411" ht="15.75" customHeight="1">
      <c r="A411" s="3"/>
      <c r="B411" s="3"/>
      <c r="C411" s="3"/>
      <c r="D411" s="3"/>
      <c r="E411" s="3"/>
      <c r="F411" s="3"/>
      <c r="G411" s="3"/>
      <c r="H411" s="3"/>
      <c r="I411" s="3"/>
      <c r="J411" s="3"/>
    </row>
    <row r="412" ht="15.75" customHeight="1">
      <c r="A412" s="3"/>
      <c r="B412" s="3"/>
      <c r="C412" s="3"/>
      <c r="D412" s="3"/>
      <c r="E412" s="3"/>
      <c r="F412" s="3"/>
      <c r="G412" s="3"/>
      <c r="H412" s="3"/>
      <c r="I412" s="3"/>
      <c r="J412" s="3"/>
    </row>
    <row r="413" ht="15.75" customHeight="1">
      <c r="A413" s="3"/>
      <c r="B413" s="3"/>
      <c r="C413" s="3"/>
      <c r="D413" s="3"/>
      <c r="E413" s="3"/>
      <c r="F413" s="3"/>
      <c r="G413" s="3"/>
      <c r="H413" s="3"/>
      <c r="I413" s="3"/>
      <c r="J413" s="3"/>
    </row>
    <row r="414" ht="15.75" customHeight="1">
      <c r="A414" s="3"/>
      <c r="B414" s="3"/>
      <c r="C414" s="3"/>
      <c r="D414" s="3"/>
      <c r="E414" s="3"/>
      <c r="F414" s="3"/>
      <c r="G414" s="3"/>
      <c r="H414" s="3"/>
      <c r="I414" s="3"/>
      <c r="J414" s="3"/>
    </row>
    <row r="415" ht="15.75" customHeight="1">
      <c r="A415" s="3"/>
      <c r="B415" s="3"/>
      <c r="C415" s="3"/>
      <c r="D415" s="3"/>
      <c r="E415" s="3"/>
      <c r="F415" s="3"/>
      <c r="G415" s="3"/>
      <c r="H415" s="3"/>
      <c r="I415" s="3"/>
      <c r="J415" s="3"/>
    </row>
    <row r="416" ht="15.75" customHeight="1">
      <c r="A416" s="3"/>
      <c r="B416" s="3"/>
      <c r="C416" s="3"/>
      <c r="D416" s="3"/>
      <c r="E416" s="3"/>
      <c r="F416" s="3"/>
      <c r="G416" s="3"/>
      <c r="H416" s="3"/>
      <c r="I416" s="3"/>
      <c r="J416" s="3"/>
    </row>
    <row r="417" ht="15.75" customHeight="1">
      <c r="A417" s="3"/>
      <c r="B417" s="3"/>
      <c r="C417" s="3"/>
      <c r="D417" s="3"/>
      <c r="E417" s="3"/>
      <c r="F417" s="3"/>
      <c r="G417" s="3"/>
      <c r="H417" s="3"/>
      <c r="I417" s="3"/>
      <c r="J417" s="3"/>
    </row>
    <row r="418" ht="15.75" customHeight="1">
      <c r="A418" s="3"/>
      <c r="B418" s="3"/>
      <c r="C418" s="3"/>
      <c r="D418" s="3"/>
      <c r="E418" s="3"/>
      <c r="F418" s="3"/>
      <c r="G418" s="3"/>
      <c r="H418" s="3"/>
      <c r="I418" s="3"/>
      <c r="J418" s="3"/>
    </row>
    <row r="419" ht="15.75" customHeight="1">
      <c r="A419" s="3"/>
      <c r="B419" s="3"/>
      <c r="C419" s="3"/>
      <c r="D419" s="3"/>
      <c r="E419" s="3"/>
      <c r="F419" s="3"/>
      <c r="G419" s="3"/>
      <c r="H419" s="3"/>
      <c r="I419" s="3"/>
      <c r="J419" s="3"/>
    </row>
    <row r="420" ht="15.75" customHeight="1">
      <c r="A420" s="3"/>
      <c r="B420" s="3"/>
      <c r="C420" s="3"/>
      <c r="D420" s="3"/>
      <c r="E420" s="3"/>
      <c r="F420" s="3"/>
      <c r="G420" s="3"/>
      <c r="H420" s="3"/>
      <c r="I420" s="3"/>
      <c r="J420" s="3"/>
    </row>
    <row r="421" ht="15.75" customHeight="1">
      <c r="A421" s="3"/>
      <c r="B421" s="3"/>
      <c r="C421" s="3"/>
      <c r="D421" s="3"/>
      <c r="E421" s="3"/>
      <c r="F421" s="3"/>
      <c r="G421" s="3"/>
      <c r="H421" s="3"/>
      <c r="I421" s="3"/>
      <c r="J421" s="3"/>
    </row>
    <row r="422" ht="15.75" customHeight="1">
      <c r="A422" s="3"/>
      <c r="B422" s="3"/>
      <c r="C422" s="3"/>
      <c r="D422" s="3"/>
      <c r="E422" s="3"/>
      <c r="F422" s="3"/>
      <c r="G422" s="3"/>
      <c r="H422" s="3"/>
      <c r="I422" s="3"/>
      <c r="J422" s="3"/>
    </row>
    <row r="423" ht="15.75" customHeight="1">
      <c r="A423" s="3"/>
      <c r="B423" s="3"/>
      <c r="C423" s="3"/>
      <c r="D423" s="3"/>
      <c r="E423" s="3"/>
      <c r="F423" s="3"/>
      <c r="G423" s="3"/>
      <c r="H423" s="3"/>
      <c r="I423" s="3"/>
      <c r="J423" s="3"/>
    </row>
    <row r="424" ht="15.75" customHeight="1">
      <c r="A424" s="3"/>
      <c r="B424" s="3"/>
      <c r="C424" s="3"/>
      <c r="D424" s="3"/>
      <c r="E424" s="3"/>
      <c r="F424" s="3"/>
      <c r="G424" s="3"/>
      <c r="H424" s="3"/>
      <c r="I424" s="3"/>
      <c r="J424" s="3"/>
    </row>
    <row r="425" ht="15.75" customHeight="1">
      <c r="A425" s="3"/>
      <c r="B425" s="3"/>
      <c r="C425" s="3"/>
      <c r="D425" s="3"/>
      <c r="E425" s="3"/>
      <c r="F425" s="3"/>
      <c r="G425" s="3"/>
      <c r="H425" s="3"/>
      <c r="I425" s="3"/>
      <c r="J425" s="3"/>
    </row>
    <row r="426" ht="15.75" customHeight="1">
      <c r="A426" s="3"/>
      <c r="B426" s="3"/>
      <c r="C426" s="3"/>
      <c r="D426" s="3"/>
      <c r="E426" s="3"/>
      <c r="F426" s="3"/>
      <c r="G426" s="3"/>
      <c r="H426" s="3"/>
      <c r="I426" s="3"/>
      <c r="J426" s="3"/>
    </row>
    <row r="427" ht="15.75" customHeight="1">
      <c r="A427" s="3"/>
      <c r="B427" s="3"/>
      <c r="C427" s="3"/>
      <c r="D427" s="3"/>
      <c r="E427" s="3"/>
      <c r="F427" s="3"/>
      <c r="G427" s="3"/>
      <c r="H427" s="3"/>
      <c r="I427" s="3"/>
      <c r="J427" s="3"/>
    </row>
    <row r="428" ht="15.75" customHeight="1">
      <c r="A428" s="3"/>
      <c r="B428" s="3"/>
      <c r="C428" s="3"/>
      <c r="D428" s="3"/>
      <c r="E428" s="3"/>
      <c r="F428" s="3"/>
      <c r="G428" s="3"/>
      <c r="H428" s="3"/>
      <c r="I428" s="3"/>
      <c r="J428" s="3"/>
    </row>
    <row r="429" ht="15.75" customHeight="1">
      <c r="A429" s="3"/>
      <c r="B429" s="3"/>
      <c r="C429" s="3"/>
      <c r="D429" s="3"/>
      <c r="E429" s="3"/>
      <c r="F429" s="3"/>
      <c r="G429" s="3"/>
      <c r="H429" s="3"/>
      <c r="I429" s="3"/>
      <c r="J429" s="3"/>
    </row>
    <row r="430" ht="15.75" customHeight="1">
      <c r="A430" s="3"/>
      <c r="B430" s="3"/>
      <c r="C430" s="3"/>
      <c r="D430" s="3"/>
      <c r="E430" s="3"/>
      <c r="F430" s="3"/>
      <c r="G430" s="3"/>
      <c r="H430" s="3"/>
      <c r="I430" s="3"/>
      <c r="J430" s="3"/>
    </row>
    <row r="431" ht="15.75" customHeight="1">
      <c r="A431" s="3"/>
      <c r="B431" s="3"/>
      <c r="C431" s="3"/>
      <c r="D431" s="3"/>
      <c r="E431" s="3"/>
      <c r="F431" s="3"/>
      <c r="G431" s="3"/>
      <c r="H431" s="3"/>
      <c r="I431" s="3"/>
      <c r="J431" s="3"/>
    </row>
    <row r="432" ht="15.75" customHeight="1">
      <c r="A432" s="3"/>
      <c r="B432" s="3"/>
      <c r="C432" s="3"/>
      <c r="D432" s="3"/>
      <c r="E432" s="3"/>
      <c r="F432" s="3"/>
      <c r="G432" s="3"/>
      <c r="H432" s="3"/>
      <c r="I432" s="3"/>
      <c r="J432" s="3"/>
    </row>
    <row r="433" ht="15.75" customHeight="1">
      <c r="A433" s="3"/>
      <c r="B433" s="3"/>
      <c r="C433" s="3"/>
      <c r="D433" s="3"/>
      <c r="E433" s="3"/>
      <c r="F433" s="3"/>
      <c r="G433" s="3"/>
      <c r="H433" s="3"/>
      <c r="I433" s="3"/>
      <c r="J433" s="3"/>
    </row>
    <row r="434" ht="15.75" customHeight="1">
      <c r="A434" s="3"/>
      <c r="B434" s="3"/>
      <c r="C434" s="3"/>
      <c r="D434" s="3"/>
      <c r="E434" s="3"/>
      <c r="F434" s="3"/>
      <c r="G434" s="3"/>
      <c r="H434" s="3"/>
      <c r="I434" s="3"/>
      <c r="J434" s="3"/>
    </row>
    <row r="435" ht="15.75" customHeight="1">
      <c r="A435" s="3"/>
      <c r="B435" s="3"/>
      <c r="C435" s="3"/>
      <c r="D435" s="3"/>
      <c r="E435" s="3"/>
      <c r="F435" s="3"/>
      <c r="G435" s="3"/>
      <c r="H435" s="3"/>
      <c r="I435" s="3"/>
      <c r="J435" s="3"/>
    </row>
    <row r="436" ht="15.75" customHeight="1">
      <c r="A436" s="3"/>
      <c r="B436" s="3"/>
      <c r="C436" s="3"/>
      <c r="D436" s="3"/>
      <c r="E436" s="3"/>
      <c r="F436" s="3"/>
      <c r="G436" s="3"/>
      <c r="H436" s="3"/>
      <c r="I436" s="3"/>
      <c r="J436" s="3"/>
    </row>
    <row r="437" ht="15.75" customHeight="1">
      <c r="A437" s="3"/>
      <c r="B437" s="3"/>
      <c r="C437" s="3"/>
      <c r="D437" s="3"/>
      <c r="E437" s="3"/>
      <c r="F437" s="3"/>
      <c r="G437" s="3"/>
      <c r="H437" s="3"/>
      <c r="I437" s="3"/>
      <c r="J437" s="3"/>
    </row>
    <row r="438" ht="15.75" customHeight="1">
      <c r="A438" s="3"/>
      <c r="B438" s="3"/>
      <c r="C438" s="3"/>
      <c r="D438" s="3"/>
      <c r="E438" s="3"/>
      <c r="F438" s="3"/>
      <c r="G438" s="3"/>
      <c r="H438" s="3"/>
      <c r="I438" s="3"/>
      <c r="J438" s="3"/>
    </row>
    <row r="439" ht="15.75" customHeight="1">
      <c r="A439" s="3"/>
      <c r="B439" s="3"/>
      <c r="C439" s="3"/>
      <c r="D439" s="3"/>
      <c r="E439" s="3"/>
      <c r="F439" s="3"/>
      <c r="G439" s="3"/>
      <c r="H439" s="3"/>
      <c r="I439" s="3"/>
      <c r="J439" s="3"/>
    </row>
    <row r="440" ht="15.75" customHeight="1">
      <c r="A440" s="3"/>
      <c r="B440" s="3"/>
      <c r="C440" s="3"/>
      <c r="D440" s="3"/>
      <c r="E440" s="3"/>
      <c r="F440" s="3"/>
      <c r="G440" s="3"/>
      <c r="H440" s="3"/>
      <c r="I440" s="3"/>
      <c r="J440" s="3"/>
    </row>
    <row r="441" ht="15.75" customHeight="1">
      <c r="A441" s="3"/>
      <c r="B441" s="3"/>
      <c r="C441" s="3"/>
      <c r="D441" s="3"/>
      <c r="E441" s="3"/>
      <c r="F441" s="3"/>
      <c r="G441" s="3"/>
      <c r="H441" s="3"/>
      <c r="I441" s="3"/>
      <c r="J441" s="3"/>
    </row>
    <row r="442" ht="15.75" customHeight="1">
      <c r="A442" s="3"/>
      <c r="B442" s="3"/>
      <c r="C442" s="3"/>
      <c r="D442" s="3"/>
      <c r="E442" s="3"/>
      <c r="F442" s="3"/>
      <c r="G442" s="3"/>
      <c r="H442" s="3"/>
      <c r="I442" s="3"/>
      <c r="J442" s="3"/>
    </row>
    <row r="443" ht="15.75" customHeight="1">
      <c r="A443" s="3"/>
      <c r="B443" s="3"/>
      <c r="C443" s="3"/>
      <c r="D443" s="3"/>
      <c r="E443" s="3"/>
      <c r="F443" s="3"/>
      <c r="G443" s="3"/>
      <c r="H443" s="3"/>
      <c r="I443" s="3"/>
      <c r="J443" s="3"/>
    </row>
    <row r="444" ht="15.75" customHeight="1">
      <c r="A444" s="3"/>
      <c r="B444" s="3"/>
      <c r="C444" s="3"/>
      <c r="D444" s="3"/>
      <c r="E444" s="3"/>
      <c r="F444" s="3"/>
      <c r="G444" s="3"/>
      <c r="H444" s="3"/>
      <c r="I444" s="3"/>
      <c r="J444" s="3"/>
    </row>
    <row r="445" ht="15.75" customHeight="1">
      <c r="A445" s="3"/>
      <c r="B445" s="3"/>
      <c r="C445" s="3"/>
      <c r="D445" s="3"/>
      <c r="E445" s="3"/>
      <c r="F445" s="3"/>
      <c r="G445" s="3"/>
      <c r="H445" s="3"/>
      <c r="I445" s="3"/>
      <c r="J445" s="3"/>
    </row>
    <row r="446" ht="15.75" customHeight="1">
      <c r="A446" s="3"/>
      <c r="B446" s="3"/>
      <c r="C446" s="3"/>
      <c r="D446" s="3"/>
      <c r="E446" s="3"/>
      <c r="F446" s="3"/>
      <c r="G446" s="3"/>
      <c r="H446" s="3"/>
      <c r="I446" s="3"/>
      <c r="J446" s="3"/>
    </row>
    <row r="447" ht="15.75" customHeight="1">
      <c r="A447" s="3"/>
      <c r="B447" s="3"/>
      <c r="C447" s="3"/>
      <c r="D447" s="3"/>
      <c r="E447" s="3"/>
      <c r="F447" s="3"/>
      <c r="G447" s="3"/>
      <c r="H447" s="3"/>
      <c r="I447" s="3"/>
      <c r="J447" s="3"/>
    </row>
    <row r="448" ht="15.75" customHeight="1">
      <c r="A448" s="3"/>
      <c r="B448" s="3"/>
      <c r="C448" s="3"/>
      <c r="D448" s="3"/>
      <c r="E448" s="3"/>
      <c r="F448" s="3"/>
      <c r="G448" s="3"/>
      <c r="H448" s="3"/>
      <c r="I448" s="3"/>
      <c r="J448" s="3"/>
    </row>
    <row r="449" ht="15.75" customHeight="1">
      <c r="A449" s="3"/>
      <c r="B449" s="3"/>
      <c r="C449" s="3"/>
      <c r="D449" s="3"/>
      <c r="E449" s="3"/>
      <c r="F449" s="3"/>
      <c r="G449" s="3"/>
      <c r="H449" s="3"/>
      <c r="I449" s="3"/>
      <c r="J449" s="3"/>
    </row>
    <row r="450" ht="15.75" customHeight="1">
      <c r="A450" s="3"/>
      <c r="B450" s="3"/>
      <c r="C450" s="3"/>
      <c r="D450" s="3"/>
      <c r="E450" s="3"/>
      <c r="F450" s="3"/>
      <c r="G450" s="3"/>
      <c r="H450" s="3"/>
      <c r="I450" s="3"/>
      <c r="J450" s="3"/>
    </row>
    <row r="451" ht="15.75" customHeight="1">
      <c r="A451" s="3"/>
      <c r="B451" s="3"/>
      <c r="C451" s="3"/>
      <c r="D451" s="3"/>
      <c r="E451" s="3"/>
      <c r="F451" s="3"/>
      <c r="G451" s="3"/>
      <c r="H451" s="3"/>
      <c r="I451" s="3"/>
      <c r="J451" s="3"/>
    </row>
    <row r="452" ht="15.75" customHeight="1">
      <c r="A452" s="3"/>
      <c r="B452" s="3"/>
      <c r="C452" s="3"/>
      <c r="D452" s="3"/>
      <c r="E452" s="3"/>
      <c r="F452" s="3"/>
      <c r="G452" s="3"/>
      <c r="H452" s="3"/>
      <c r="I452" s="3"/>
      <c r="J452" s="3"/>
    </row>
    <row r="453" ht="15.75" customHeight="1">
      <c r="A453" s="3"/>
      <c r="B453" s="3"/>
      <c r="C453" s="3"/>
      <c r="D453" s="3"/>
      <c r="E453" s="3"/>
      <c r="F453" s="3"/>
      <c r="G453" s="3"/>
      <c r="H453" s="3"/>
      <c r="I453" s="3"/>
      <c r="J453" s="3"/>
    </row>
    <row r="454" ht="15.75" customHeight="1">
      <c r="A454" s="3"/>
      <c r="B454" s="3"/>
      <c r="C454" s="3"/>
      <c r="D454" s="3"/>
      <c r="E454" s="3"/>
      <c r="F454" s="3"/>
      <c r="G454" s="3"/>
      <c r="H454" s="3"/>
      <c r="I454" s="3"/>
      <c r="J454" s="3"/>
    </row>
    <row r="455" ht="15.75" customHeight="1">
      <c r="A455" s="3"/>
      <c r="B455" s="3"/>
      <c r="C455" s="3"/>
      <c r="D455" s="3"/>
      <c r="E455" s="3"/>
      <c r="F455" s="3"/>
      <c r="G455" s="3"/>
      <c r="H455" s="3"/>
      <c r="I455" s="3"/>
      <c r="J455" s="3"/>
    </row>
    <row r="456" ht="15.75" customHeight="1">
      <c r="A456" s="3"/>
      <c r="B456" s="3"/>
      <c r="C456" s="3"/>
      <c r="D456" s="3"/>
      <c r="E456" s="3"/>
      <c r="F456" s="3"/>
      <c r="G456" s="3"/>
      <c r="H456" s="3"/>
      <c r="I456" s="3"/>
      <c r="J456" s="3"/>
    </row>
    <row r="457" ht="15.75" customHeight="1">
      <c r="A457" s="3"/>
      <c r="B457" s="3"/>
      <c r="C457" s="3"/>
      <c r="D457" s="3"/>
      <c r="E457" s="3"/>
      <c r="F457" s="3"/>
      <c r="G457" s="3"/>
      <c r="H457" s="3"/>
      <c r="I457" s="3"/>
      <c r="J457" s="3"/>
    </row>
    <row r="458" ht="15.75" customHeight="1">
      <c r="A458" s="3"/>
      <c r="B458" s="3"/>
      <c r="C458" s="3"/>
      <c r="D458" s="3"/>
      <c r="E458" s="3"/>
      <c r="F458" s="3"/>
      <c r="G458" s="3"/>
      <c r="H458" s="3"/>
      <c r="I458" s="3"/>
      <c r="J458" s="3"/>
    </row>
    <row r="459" ht="15.75" customHeight="1">
      <c r="A459" s="3"/>
      <c r="B459" s="3"/>
      <c r="C459" s="3"/>
      <c r="D459" s="3"/>
      <c r="E459" s="3"/>
      <c r="F459" s="3"/>
      <c r="G459" s="3"/>
      <c r="H459" s="3"/>
      <c r="I459" s="3"/>
      <c r="J459" s="3"/>
    </row>
    <row r="460" ht="15.75" customHeight="1">
      <c r="A460" s="3"/>
      <c r="B460" s="3"/>
      <c r="C460" s="3"/>
      <c r="D460" s="3"/>
      <c r="E460" s="3"/>
      <c r="F460" s="3"/>
      <c r="G460" s="3"/>
      <c r="H460" s="3"/>
      <c r="I460" s="3"/>
      <c r="J460" s="3"/>
    </row>
    <row r="461" ht="15.75" customHeight="1">
      <c r="A461" s="3"/>
      <c r="B461" s="3"/>
      <c r="C461" s="3"/>
      <c r="D461" s="3"/>
      <c r="E461" s="3"/>
      <c r="F461" s="3"/>
      <c r="G461" s="3"/>
      <c r="H461" s="3"/>
      <c r="I461" s="3"/>
      <c r="J461" s="3"/>
    </row>
    <row r="462" ht="15.75" customHeight="1">
      <c r="A462" s="3"/>
      <c r="B462" s="3"/>
      <c r="C462" s="3"/>
      <c r="D462" s="3"/>
      <c r="E462" s="3"/>
      <c r="F462" s="3"/>
      <c r="G462" s="3"/>
      <c r="H462" s="3"/>
      <c r="I462" s="3"/>
      <c r="J462" s="3"/>
    </row>
    <row r="463" ht="15.75" customHeight="1">
      <c r="A463" s="3"/>
      <c r="B463" s="3"/>
      <c r="C463" s="3"/>
      <c r="D463" s="3"/>
      <c r="E463" s="3"/>
      <c r="F463" s="3"/>
      <c r="G463" s="3"/>
      <c r="H463" s="3"/>
      <c r="I463" s="3"/>
      <c r="J463" s="3"/>
    </row>
    <row r="464" ht="15.75" customHeight="1">
      <c r="A464" s="3"/>
      <c r="B464" s="3"/>
      <c r="C464" s="3"/>
      <c r="D464" s="3"/>
      <c r="E464" s="3"/>
      <c r="F464" s="3"/>
      <c r="G464" s="3"/>
      <c r="H464" s="3"/>
      <c r="I464" s="3"/>
      <c r="J464" s="3"/>
    </row>
    <row r="465" ht="15.75" customHeight="1">
      <c r="A465" s="3"/>
      <c r="B465" s="3"/>
      <c r="C465" s="3"/>
      <c r="D465" s="3"/>
      <c r="E465" s="3"/>
      <c r="F465" s="3"/>
      <c r="G465" s="3"/>
      <c r="H465" s="3"/>
      <c r="I465" s="3"/>
      <c r="J465" s="3"/>
    </row>
    <row r="466" ht="15.75" customHeight="1">
      <c r="A466" s="3"/>
      <c r="B466" s="3"/>
      <c r="C466" s="3"/>
      <c r="D466" s="3"/>
      <c r="E466" s="3"/>
      <c r="F466" s="3"/>
      <c r="G466" s="3"/>
      <c r="H466" s="3"/>
      <c r="I466" s="3"/>
      <c r="J466" s="3"/>
    </row>
    <row r="467" ht="15.75" customHeight="1">
      <c r="A467" s="3"/>
      <c r="B467" s="3"/>
      <c r="C467" s="3"/>
      <c r="D467" s="3"/>
      <c r="E467" s="3"/>
      <c r="F467" s="3"/>
      <c r="G467" s="3"/>
      <c r="H467" s="3"/>
      <c r="I467" s="3"/>
      <c r="J467" s="3"/>
    </row>
    <row r="468" ht="15.75" customHeight="1">
      <c r="A468" s="3"/>
      <c r="B468" s="3"/>
      <c r="C468" s="3"/>
      <c r="D468" s="3"/>
      <c r="E468" s="3"/>
      <c r="F468" s="3"/>
      <c r="G468" s="3"/>
      <c r="H468" s="3"/>
      <c r="I468" s="3"/>
      <c r="J468" s="3"/>
    </row>
    <row r="469" ht="15.75" customHeight="1">
      <c r="A469" s="3"/>
      <c r="B469" s="3"/>
      <c r="C469" s="3"/>
      <c r="D469" s="3"/>
      <c r="E469" s="3"/>
      <c r="F469" s="3"/>
      <c r="G469" s="3"/>
      <c r="H469" s="3"/>
      <c r="I469" s="3"/>
      <c r="J469" s="3"/>
    </row>
    <row r="470" ht="15.75" customHeight="1">
      <c r="A470" s="3"/>
      <c r="B470" s="3"/>
      <c r="C470" s="3"/>
      <c r="D470" s="3"/>
      <c r="E470" s="3"/>
      <c r="F470" s="3"/>
      <c r="G470" s="3"/>
      <c r="H470" s="3"/>
      <c r="I470" s="3"/>
      <c r="J470" s="3"/>
    </row>
    <row r="471" ht="15.75" customHeight="1">
      <c r="A471" s="3"/>
      <c r="B471" s="3"/>
      <c r="C471" s="3"/>
      <c r="D471" s="3"/>
      <c r="E471" s="3"/>
      <c r="F471" s="3"/>
      <c r="G471" s="3"/>
      <c r="H471" s="3"/>
      <c r="I471" s="3"/>
      <c r="J471" s="3"/>
    </row>
    <row r="472" ht="15.75" customHeight="1">
      <c r="A472" s="3"/>
      <c r="B472" s="3"/>
      <c r="C472" s="3"/>
      <c r="D472" s="3"/>
      <c r="E472" s="3"/>
      <c r="F472" s="3"/>
      <c r="G472" s="3"/>
      <c r="H472" s="3"/>
      <c r="I472" s="3"/>
      <c r="J472" s="3"/>
    </row>
    <row r="473" ht="15.75" customHeight="1">
      <c r="A473" s="3"/>
      <c r="B473" s="3"/>
      <c r="C473" s="3"/>
      <c r="D473" s="3"/>
      <c r="E473" s="3"/>
      <c r="F473" s="3"/>
      <c r="G473" s="3"/>
      <c r="H473" s="3"/>
      <c r="I473" s="3"/>
      <c r="J473" s="3"/>
    </row>
    <row r="474" ht="15.75" customHeight="1">
      <c r="A474" s="3"/>
      <c r="B474" s="3"/>
      <c r="C474" s="3"/>
      <c r="D474" s="3"/>
      <c r="E474" s="3"/>
      <c r="F474" s="3"/>
      <c r="G474" s="3"/>
      <c r="H474" s="3"/>
      <c r="I474" s="3"/>
      <c r="J474" s="3"/>
    </row>
    <row r="475" ht="15.75" customHeight="1">
      <c r="A475" s="3"/>
      <c r="B475" s="3"/>
      <c r="C475" s="3"/>
      <c r="D475" s="3"/>
      <c r="E475" s="3"/>
      <c r="F475" s="3"/>
      <c r="G475" s="3"/>
      <c r="H475" s="3"/>
      <c r="I475" s="3"/>
      <c r="J475" s="3"/>
    </row>
    <row r="476" ht="15.75" customHeight="1">
      <c r="A476" s="3"/>
      <c r="B476" s="3"/>
      <c r="C476" s="3"/>
      <c r="D476" s="3"/>
      <c r="E476" s="3"/>
      <c r="F476" s="3"/>
      <c r="G476" s="3"/>
      <c r="H476" s="3"/>
      <c r="I476" s="3"/>
      <c r="J476" s="3"/>
    </row>
    <row r="477" ht="15.75" customHeight="1">
      <c r="A477" s="3"/>
      <c r="B477" s="3"/>
      <c r="C477" s="3"/>
      <c r="D477" s="3"/>
      <c r="E477" s="3"/>
      <c r="F477" s="3"/>
      <c r="G477" s="3"/>
      <c r="H477" s="3"/>
      <c r="I477" s="3"/>
      <c r="J477" s="3"/>
    </row>
    <row r="478" ht="15.75" customHeight="1">
      <c r="A478" s="3"/>
      <c r="B478" s="3"/>
      <c r="C478" s="3"/>
      <c r="D478" s="3"/>
      <c r="E478" s="3"/>
      <c r="F478" s="3"/>
      <c r="G478" s="3"/>
      <c r="H478" s="3"/>
      <c r="I478" s="3"/>
      <c r="J478" s="3"/>
    </row>
    <row r="479" ht="15.75" customHeight="1">
      <c r="A479" s="3"/>
      <c r="B479" s="3"/>
      <c r="C479" s="3"/>
      <c r="D479" s="3"/>
      <c r="E479" s="3"/>
      <c r="F479" s="3"/>
      <c r="G479" s="3"/>
      <c r="H479" s="3"/>
      <c r="I479" s="3"/>
      <c r="J479" s="3"/>
    </row>
    <row r="480" ht="15.75" customHeight="1">
      <c r="A480" s="3"/>
      <c r="B480" s="3"/>
      <c r="C480" s="3"/>
      <c r="D480" s="3"/>
      <c r="E480" s="3"/>
      <c r="F480" s="3"/>
      <c r="G480" s="3"/>
      <c r="H480" s="3"/>
      <c r="I480" s="3"/>
      <c r="J480" s="3"/>
    </row>
    <row r="481" ht="15.75" customHeight="1">
      <c r="A481" s="3"/>
      <c r="B481" s="3"/>
      <c r="C481" s="3"/>
      <c r="D481" s="3"/>
      <c r="E481" s="3"/>
      <c r="F481" s="3"/>
      <c r="G481" s="3"/>
      <c r="H481" s="3"/>
      <c r="I481" s="3"/>
      <c r="J481" s="3"/>
    </row>
    <row r="482" ht="15.75" customHeight="1">
      <c r="A482" s="3"/>
      <c r="B482" s="3"/>
      <c r="C482" s="3"/>
      <c r="D482" s="3"/>
      <c r="E482" s="3"/>
      <c r="F482" s="3"/>
      <c r="G482" s="3"/>
      <c r="H482" s="3"/>
      <c r="I482" s="3"/>
      <c r="J482" s="3"/>
    </row>
    <row r="483" ht="15.75" customHeight="1">
      <c r="A483" s="3"/>
      <c r="B483" s="3"/>
      <c r="C483" s="3"/>
      <c r="D483" s="3"/>
      <c r="E483" s="3"/>
      <c r="F483" s="3"/>
      <c r="G483" s="3"/>
      <c r="H483" s="3"/>
      <c r="I483" s="3"/>
      <c r="J483" s="3"/>
    </row>
    <row r="484" ht="15.75" customHeight="1">
      <c r="A484" s="3"/>
      <c r="B484" s="3"/>
      <c r="C484" s="3"/>
      <c r="D484" s="3"/>
      <c r="E484" s="3"/>
      <c r="F484" s="3"/>
      <c r="G484" s="3"/>
      <c r="H484" s="3"/>
      <c r="I484" s="3"/>
      <c r="J484" s="3"/>
    </row>
    <row r="485" ht="15.75" customHeight="1">
      <c r="A485" s="3"/>
      <c r="B485" s="3"/>
      <c r="C485" s="3"/>
      <c r="D485" s="3"/>
      <c r="E485" s="3"/>
      <c r="F485" s="3"/>
      <c r="G485" s="3"/>
      <c r="H485" s="3"/>
      <c r="I485" s="3"/>
      <c r="J485" s="3"/>
    </row>
    <row r="486" ht="15.75" customHeight="1">
      <c r="A486" s="3"/>
      <c r="B486" s="3"/>
      <c r="C486" s="3"/>
      <c r="D486" s="3"/>
      <c r="E486" s="3"/>
      <c r="F486" s="3"/>
      <c r="G486" s="3"/>
      <c r="H486" s="3"/>
      <c r="I486" s="3"/>
      <c r="J486" s="3"/>
    </row>
    <row r="487" ht="15.75" customHeight="1">
      <c r="A487" s="3"/>
      <c r="B487" s="3"/>
      <c r="C487" s="3"/>
      <c r="D487" s="3"/>
      <c r="E487" s="3"/>
      <c r="F487" s="3"/>
      <c r="G487" s="3"/>
      <c r="H487" s="3"/>
      <c r="I487" s="3"/>
      <c r="J487" s="3"/>
    </row>
    <row r="488" ht="15.75" customHeight="1">
      <c r="A488" s="3"/>
      <c r="B488" s="3"/>
      <c r="C488" s="3"/>
      <c r="D488" s="3"/>
      <c r="E488" s="3"/>
      <c r="F488" s="3"/>
      <c r="G488" s="3"/>
      <c r="H488" s="3"/>
      <c r="I488" s="3"/>
      <c r="J488" s="3"/>
    </row>
    <row r="489" ht="15.75" customHeight="1">
      <c r="A489" s="3"/>
      <c r="B489" s="3"/>
      <c r="C489" s="3"/>
      <c r="D489" s="3"/>
      <c r="E489" s="3"/>
      <c r="F489" s="3"/>
      <c r="G489" s="3"/>
      <c r="H489" s="3"/>
      <c r="I489" s="3"/>
      <c r="J489" s="3"/>
    </row>
    <row r="490" ht="15.75" customHeight="1">
      <c r="A490" s="3"/>
      <c r="B490" s="3"/>
      <c r="C490" s="3"/>
      <c r="D490" s="3"/>
      <c r="E490" s="3"/>
      <c r="F490" s="3"/>
      <c r="G490" s="3"/>
      <c r="H490" s="3"/>
      <c r="I490" s="3"/>
      <c r="J490" s="3"/>
    </row>
    <row r="491" ht="15.75" customHeight="1">
      <c r="A491" s="3"/>
      <c r="B491" s="3"/>
      <c r="C491" s="3"/>
      <c r="D491" s="3"/>
      <c r="E491" s="3"/>
      <c r="F491" s="3"/>
      <c r="G491" s="3"/>
      <c r="H491" s="3"/>
      <c r="I491" s="3"/>
      <c r="J491" s="3"/>
    </row>
    <row r="492" ht="15.75" customHeight="1">
      <c r="A492" s="3"/>
      <c r="B492" s="3"/>
      <c r="C492" s="3"/>
      <c r="D492" s="3"/>
      <c r="E492" s="3"/>
      <c r="F492" s="3"/>
      <c r="G492" s="3"/>
      <c r="H492" s="3"/>
      <c r="I492" s="3"/>
      <c r="J492" s="3"/>
    </row>
    <row r="493" ht="15.75" customHeight="1">
      <c r="A493" s="3"/>
      <c r="B493" s="3"/>
      <c r="C493" s="3"/>
      <c r="D493" s="3"/>
      <c r="E493" s="3"/>
      <c r="F493" s="3"/>
      <c r="G493" s="3"/>
      <c r="H493" s="3"/>
      <c r="I493" s="3"/>
      <c r="J493" s="3"/>
    </row>
    <row r="494" ht="15.75" customHeight="1">
      <c r="A494" s="3"/>
      <c r="B494" s="3"/>
      <c r="C494" s="3"/>
      <c r="D494" s="3"/>
      <c r="E494" s="3"/>
      <c r="F494" s="3"/>
      <c r="G494" s="3"/>
      <c r="H494" s="3"/>
      <c r="I494" s="3"/>
      <c r="J494" s="3"/>
    </row>
    <row r="495" ht="15.75" customHeight="1">
      <c r="A495" s="3"/>
      <c r="B495" s="3"/>
      <c r="C495" s="3"/>
      <c r="D495" s="3"/>
      <c r="E495" s="3"/>
      <c r="F495" s="3"/>
      <c r="G495" s="3"/>
      <c r="H495" s="3"/>
      <c r="I495" s="3"/>
      <c r="J495" s="3"/>
    </row>
    <row r="496" ht="15.75" customHeight="1">
      <c r="A496" s="3"/>
      <c r="B496" s="3"/>
      <c r="C496" s="3"/>
      <c r="D496" s="3"/>
      <c r="E496" s="3"/>
      <c r="F496" s="3"/>
      <c r="G496" s="3"/>
      <c r="H496" s="3"/>
      <c r="I496" s="3"/>
      <c r="J496" s="3"/>
    </row>
    <row r="497" ht="15.75" customHeight="1">
      <c r="A497" s="3"/>
      <c r="B497" s="3"/>
      <c r="C497" s="3"/>
      <c r="D497" s="3"/>
      <c r="E497" s="3"/>
      <c r="F497" s="3"/>
      <c r="G497" s="3"/>
      <c r="H497" s="3"/>
      <c r="I497" s="3"/>
      <c r="J497" s="3"/>
    </row>
    <row r="498" ht="15.75" customHeight="1">
      <c r="A498" s="3"/>
      <c r="B498" s="3"/>
      <c r="C498" s="3"/>
      <c r="D498" s="3"/>
      <c r="E498" s="3"/>
      <c r="F498" s="3"/>
      <c r="G498" s="3"/>
      <c r="H498" s="3"/>
      <c r="I498" s="3"/>
      <c r="J498" s="3"/>
    </row>
    <row r="499" ht="15.75" customHeight="1">
      <c r="A499" s="3"/>
      <c r="B499" s="3"/>
      <c r="C499" s="3"/>
      <c r="D499" s="3"/>
      <c r="E499" s="3"/>
      <c r="F499" s="3"/>
      <c r="G499" s="3"/>
      <c r="H499" s="3"/>
      <c r="I499" s="3"/>
      <c r="J499" s="3"/>
    </row>
    <row r="500" ht="15.75" customHeight="1">
      <c r="A500" s="3"/>
      <c r="B500" s="3"/>
      <c r="C500" s="3"/>
      <c r="D500" s="3"/>
      <c r="E500" s="3"/>
      <c r="F500" s="3"/>
      <c r="G500" s="3"/>
      <c r="H500" s="3"/>
      <c r="I500" s="3"/>
      <c r="J500" s="3"/>
    </row>
    <row r="501" ht="15.75" customHeight="1">
      <c r="A501" s="3"/>
      <c r="B501" s="3"/>
      <c r="C501" s="3"/>
      <c r="D501" s="3"/>
      <c r="E501" s="3"/>
      <c r="F501" s="3"/>
      <c r="G501" s="3"/>
      <c r="H501" s="3"/>
      <c r="I501" s="3"/>
      <c r="J501" s="3"/>
    </row>
    <row r="502" ht="15.75" customHeight="1">
      <c r="A502" s="3"/>
      <c r="B502" s="3"/>
      <c r="C502" s="3"/>
      <c r="D502" s="3"/>
      <c r="E502" s="3"/>
      <c r="F502" s="3"/>
      <c r="G502" s="3"/>
      <c r="H502" s="3"/>
      <c r="I502" s="3"/>
      <c r="J502" s="3"/>
    </row>
    <row r="503" ht="15.75" customHeight="1">
      <c r="A503" s="3"/>
      <c r="B503" s="3"/>
      <c r="C503" s="3"/>
      <c r="D503" s="3"/>
      <c r="E503" s="3"/>
      <c r="F503" s="3"/>
      <c r="G503" s="3"/>
      <c r="H503" s="3"/>
      <c r="I503" s="3"/>
      <c r="J503" s="3"/>
    </row>
    <row r="504" ht="15.75" customHeight="1">
      <c r="A504" s="3"/>
      <c r="B504" s="3"/>
      <c r="C504" s="3"/>
      <c r="D504" s="3"/>
      <c r="E504" s="3"/>
      <c r="F504" s="3"/>
      <c r="G504" s="3"/>
      <c r="H504" s="3"/>
      <c r="I504" s="3"/>
      <c r="J504" s="3"/>
    </row>
    <row r="505" ht="15.75" customHeight="1">
      <c r="A505" s="3"/>
      <c r="B505" s="3"/>
      <c r="C505" s="3"/>
      <c r="D505" s="3"/>
      <c r="E505" s="3"/>
      <c r="F505" s="3"/>
      <c r="G505" s="3"/>
      <c r="H505" s="3"/>
      <c r="I505" s="3"/>
      <c r="J505" s="3"/>
    </row>
    <row r="506" ht="15.75" customHeight="1">
      <c r="A506" s="3"/>
      <c r="B506" s="3"/>
      <c r="C506" s="3"/>
      <c r="D506" s="3"/>
      <c r="E506" s="3"/>
      <c r="F506" s="3"/>
      <c r="G506" s="3"/>
      <c r="H506" s="3"/>
      <c r="I506" s="3"/>
      <c r="J506" s="3"/>
    </row>
    <row r="507" ht="15.75" customHeight="1">
      <c r="A507" s="3"/>
      <c r="B507" s="3"/>
      <c r="C507" s="3"/>
      <c r="D507" s="3"/>
      <c r="E507" s="3"/>
      <c r="F507" s="3"/>
      <c r="G507" s="3"/>
      <c r="H507" s="3"/>
      <c r="I507" s="3"/>
      <c r="J507" s="3"/>
    </row>
    <row r="508" ht="15.75" customHeight="1">
      <c r="A508" s="3"/>
      <c r="B508" s="3"/>
      <c r="C508" s="3"/>
      <c r="D508" s="3"/>
      <c r="E508" s="3"/>
      <c r="F508" s="3"/>
      <c r="G508" s="3"/>
      <c r="H508" s="3"/>
      <c r="I508" s="3"/>
      <c r="J508" s="3"/>
    </row>
    <row r="509" ht="15.75" customHeight="1">
      <c r="A509" s="3"/>
      <c r="B509" s="3"/>
      <c r="C509" s="3"/>
      <c r="D509" s="3"/>
      <c r="E509" s="3"/>
      <c r="F509" s="3"/>
      <c r="G509" s="3"/>
      <c r="H509" s="3"/>
      <c r="I509" s="3"/>
      <c r="J509" s="3"/>
    </row>
    <row r="510" ht="15.75" customHeight="1">
      <c r="A510" s="3"/>
      <c r="B510" s="3"/>
      <c r="C510" s="3"/>
      <c r="D510" s="3"/>
      <c r="E510" s="3"/>
      <c r="F510" s="3"/>
      <c r="G510" s="3"/>
      <c r="H510" s="3"/>
      <c r="I510" s="3"/>
      <c r="J510" s="3"/>
    </row>
    <row r="511" ht="15.75" customHeight="1">
      <c r="A511" s="3"/>
      <c r="B511" s="3"/>
      <c r="C511" s="3"/>
      <c r="D511" s="3"/>
      <c r="E511" s="3"/>
      <c r="F511" s="3"/>
      <c r="G511" s="3"/>
      <c r="H511" s="3"/>
      <c r="I511" s="3"/>
      <c r="J511" s="3"/>
    </row>
    <row r="512" ht="15.75" customHeight="1">
      <c r="A512" s="3"/>
      <c r="B512" s="3"/>
      <c r="C512" s="3"/>
      <c r="D512" s="3"/>
      <c r="E512" s="3"/>
      <c r="F512" s="3"/>
      <c r="G512" s="3"/>
      <c r="H512" s="3"/>
      <c r="I512" s="3"/>
      <c r="J512" s="3"/>
    </row>
    <row r="513" ht="15.75" customHeight="1">
      <c r="A513" s="3"/>
      <c r="B513" s="3"/>
      <c r="C513" s="3"/>
      <c r="D513" s="3"/>
      <c r="E513" s="3"/>
      <c r="F513" s="3"/>
      <c r="G513" s="3"/>
      <c r="H513" s="3"/>
      <c r="I513" s="3"/>
      <c r="J513" s="3"/>
    </row>
    <row r="514" ht="15.75" customHeight="1">
      <c r="A514" s="3"/>
      <c r="B514" s="3"/>
      <c r="C514" s="3"/>
      <c r="D514" s="3"/>
      <c r="E514" s="3"/>
      <c r="F514" s="3"/>
      <c r="G514" s="3"/>
      <c r="H514" s="3"/>
      <c r="I514" s="3"/>
      <c r="J514" s="3"/>
    </row>
    <row r="515" ht="15.75" customHeight="1">
      <c r="A515" s="3"/>
      <c r="B515" s="3"/>
      <c r="C515" s="3"/>
      <c r="D515" s="3"/>
      <c r="E515" s="3"/>
      <c r="F515" s="3"/>
      <c r="G515" s="3"/>
      <c r="H515" s="3"/>
      <c r="I515" s="3"/>
      <c r="J515" s="3"/>
    </row>
    <row r="516" ht="15.75" customHeight="1">
      <c r="A516" s="3"/>
      <c r="B516" s="3"/>
      <c r="C516" s="3"/>
      <c r="D516" s="3"/>
      <c r="E516" s="3"/>
      <c r="F516" s="3"/>
      <c r="G516" s="3"/>
      <c r="H516" s="3"/>
      <c r="I516" s="3"/>
      <c r="J516" s="3"/>
    </row>
    <row r="517" ht="15.75" customHeight="1">
      <c r="A517" s="3"/>
      <c r="B517" s="3"/>
      <c r="C517" s="3"/>
      <c r="D517" s="3"/>
      <c r="E517" s="3"/>
      <c r="F517" s="3"/>
      <c r="G517" s="3"/>
      <c r="H517" s="3"/>
      <c r="I517" s="3"/>
      <c r="J517" s="3"/>
    </row>
    <row r="518" ht="15.75" customHeight="1">
      <c r="A518" s="3"/>
      <c r="B518" s="3"/>
      <c r="C518" s="3"/>
      <c r="D518" s="3"/>
      <c r="E518" s="3"/>
      <c r="F518" s="3"/>
      <c r="G518" s="3"/>
      <c r="H518" s="3"/>
      <c r="I518" s="3"/>
      <c r="J518" s="3"/>
    </row>
    <row r="519" ht="15.75" customHeight="1">
      <c r="A519" s="3"/>
      <c r="B519" s="3"/>
      <c r="C519" s="3"/>
      <c r="D519" s="3"/>
      <c r="E519" s="3"/>
      <c r="F519" s="3"/>
      <c r="G519" s="3"/>
      <c r="H519" s="3"/>
      <c r="I519" s="3"/>
      <c r="J519" s="3"/>
    </row>
    <row r="520" ht="15.75" customHeight="1">
      <c r="A520" s="3"/>
      <c r="B520" s="3"/>
      <c r="C520" s="3"/>
      <c r="D520" s="3"/>
      <c r="E520" s="3"/>
      <c r="F520" s="3"/>
      <c r="G520" s="3"/>
      <c r="H520" s="3"/>
      <c r="I520" s="3"/>
      <c r="J520" s="3"/>
    </row>
    <row r="521" ht="15.75" customHeight="1">
      <c r="A521" s="3"/>
      <c r="B521" s="3"/>
      <c r="C521" s="3"/>
      <c r="D521" s="3"/>
      <c r="E521" s="3"/>
      <c r="F521" s="3"/>
      <c r="G521" s="3"/>
      <c r="H521" s="3"/>
      <c r="I521" s="3"/>
      <c r="J521" s="3"/>
    </row>
    <row r="522" ht="15.75" customHeight="1">
      <c r="A522" s="3"/>
      <c r="B522" s="3"/>
      <c r="C522" s="3"/>
      <c r="D522" s="3"/>
      <c r="E522" s="3"/>
      <c r="F522" s="3"/>
      <c r="G522" s="3"/>
      <c r="H522" s="3"/>
      <c r="I522" s="3"/>
      <c r="J522" s="3"/>
    </row>
    <row r="523" ht="15.75" customHeight="1">
      <c r="A523" s="3"/>
      <c r="B523" s="3"/>
      <c r="C523" s="3"/>
      <c r="D523" s="3"/>
      <c r="E523" s="3"/>
      <c r="F523" s="3"/>
      <c r="G523" s="3"/>
      <c r="H523" s="3"/>
      <c r="I523" s="3"/>
      <c r="J523" s="3"/>
    </row>
    <row r="524" ht="15.75" customHeight="1">
      <c r="A524" s="3"/>
      <c r="B524" s="3"/>
      <c r="C524" s="3"/>
      <c r="D524" s="3"/>
      <c r="E524" s="3"/>
      <c r="F524" s="3"/>
      <c r="G524" s="3"/>
      <c r="H524" s="3"/>
      <c r="I524" s="3"/>
      <c r="J524" s="3"/>
    </row>
    <row r="525" ht="15.75" customHeight="1">
      <c r="A525" s="3"/>
      <c r="B525" s="3"/>
      <c r="C525" s="3"/>
      <c r="D525" s="3"/>
      <c r="E525" s="3"/>
      <c r="F525" s="3"/>
      <c r="G525" s="3"/>
      <c r="H525" s="3"/>
      <c r="I525" s="3"/>
      <c r="J525" s="3"/>
    </row>
    <row r="526" ht="15.75" customHeight="1">
      <c r="A526" s="3"/>
      <c r="B526" s="3"/>
      <c r="C526" s="3"/>
      <c r="D526" s="3"/>
      <c r="E526" s="3"/>
      <c r="F526" s="3"/>
      <c r="G526" s="3"/>
      <c r="H526" s="3"/>
      <c r="I526" s="3"/>
      <c r="J526" s="3"/>
    </row>
    <row r="527" ht="15.75" customHeight="1">
      <c r="A527" s="3"/>
      <c r="B527" s="3"/>
      <c r="C527" s="3"/>
      <c r="D527" s="3"/>
      <c r="E527" s="3"/>
      <c r="F527" s="3"/>
      <c r="G527" s="3"/>
      <c r="H527" s="3"/>
      <c r="I527" s="3"/>
      <c r="J527" s="3"/>
    </row>
    <row r="528" ht="15.75" customHeight="1">
      <c r="A528" s="3"/>
      <c r="B528" s="3"/>
      <c r="C528" s="3"/>
      <c r="D528" s="3"/>
      <c r="E528" s="3"/>
      <c r="F528" s="3"/>
      <c r="G528" s="3"/>
      <c r="H528" s="3"/>
      <c r="I528" s="3"/>
      <c r="J528" s="3"/>
    </row>
    <row r="529" ht="15.75" customHeight="1">
      <c r="A529" s="3"/>
      <c r="B529" s="3"/>
      <c r="C529" s="3"/>
      <c r="D529" s="3"/>
      <c r="E529" s="3"/>
      <c r="F529" s="3"/>
      <c r="G529" s="3"/>
      <c r="H529" s="3"/>
      <c r="I529" s="3"/>
      <c r="J529" s="3"/>
    </row>
    <row r="530" ht="15.75" customHeight="1">
      <c r="A530" s="3"/>
      <c r="B530" s="3"/>
      <c r="C530" s="3"/>
      <c r="D530" s="3"/>
      <c r="E530" s="3"/>
      <c r="F530" s="3"/>
      <c r="G530" s="3"/>
      <c r="H530" s="3"/>
      <c r="I530" s="3"/>
      <c r="J530" s="3"/>
    </row>
    <row r="531" ht="15.75" customHeight="1">
      <c r="A531" s="3"/>
      <c r="B531" s="3"/>
      <c r="C531" s="3"/>
      <c r="D531" s="3"/>
      <c r="E531" s="3"/>
      <c r="F531" s="3"/>
      <c r="G531" s="3"/>
      <c r="H531" s="3"/>
      <c r="I531" s="3"/>
      <c r="J531" s="3"/>
    </row>
    <row r="532" ht="15.75" customHeight="1">
      <c r="A532" s="3"/>
      <c r="B532" s="3"/>
      <c r="C532" s="3"/>
      <c r="D532" s="3"/>
      <c r="E532" s="3"/>
      <c r="F532" s="3"/>
      <c r="G532" s="3"/>
      <c r="H532" s="3"/>
      <c r="I532" s="3"/>
      <c r="J532" s="3"/>
    </row>
    <row r="533" ht="15.75" customHeight="1">
      <c r="A533" s="3"/>
      <c r="B533" s="3"/>
      <c r="C533" s="3"/>
      <c r="D533" s="3"/>
      <c r="E533" s="3"/>
      <c r="F533" s="3"/>
      <c r="G533" s="3"/>
      <c r="H533" s="3"/>
      <c r="I533" s="3"/>
      <c r="J533" s="3"/>
    </row>
    <row r="534" ht="15.75" customHeight="1">
      <c r="A534" s="3"/>
      <c r="B534" s="3"/>
      <c r="C534" s="3"/>
      <c r="D534" s="3"/>
      <c r="E534" s="3"/>
      <c r="F534" s="3"/>
      <c r="G534" s="3"/>
      <c r="H534" s="3"/>
      <c r="I534" s="3"/>
      <c r="J534" s="3"/>
    </row>
    <row r="535" ht="15.75" customHeight="1">
      <c r="A535" s="3"/>
      <c r="B535" s="3"/>
      <c r="C535" s="3"/>
      <c r="D535" s="3"/>
      <c r="E535" s="3"/>
      <c r="F535" s="3"/>
      <c r="G535" s="3"/>
      <c r="H535" s="3"/>
      <c r="I535" s="3"/>
      <c r="J535" s="3"/>
    </row>
    <row r="536" ht="15.75" customHeight="1">
      <c r="A536" s="3"/>
      <c r="B536" s="3"/>
      <c r="C536" s="3"/>
      <c r="D536" s="3"/>
      <c r="E536" s="3"/>
      <c r="F536" s="3"/>
      <c r="G536" s="3"/>
      <c r="H536" s="3"/>
      <c r="I536" s="3"/>
      <c r="J536" s="3"/>
    </row>
    <row r="537" ht="15.75" customHeight="1">
      <c r="A537" s="3"/>
      <c r="B537" s="3"/>
      <c r="C537" s="3"/>
      <c r="D537" s="3"/>
      <c r="E537" s="3"/>
      <c r="F537" s="3"/>
      <c r="G537" s="3"/>
      <c r="H537" s="3"/>
      <c r="I537" s="3"/>
      <c r="J537" s="3"/>
    </row>
    <row r="538" ht="15.75" customHeight="1">
      <c r="A538" s="3"/>
      <c r="B538" s="3"/>
      <c r="C538" s="3"/>
      <c r="D538" s="3"/>
      <c r="E538" s="3"/>
      <c r="F538" s="3"/>
      <c r="G538" s="3"/>
      <c r="H538" s="3"/>
      <c r="I538" s="3"/>
      <c r="J538" s="3"/>
    </row>
    <row r="539" ht="15.75" customHeight="1">
      <c r="A539" s="3"/>
      <c r="B539" s="3"/>
      <c r="C539" s="3"/>
      <c r="D539" s="3"/>
      <c r="E539" s="3"/>
      <c r="F539" s="3"/>
      <c r="G539" s="3"/>
      <c r="H539" s="3"/>
      <c r="I539" s="3"/>
      <c r="J539" s="3"/>
    </row>
    <row r="540" ht="15.75" customHeight="1">
      <c r="A540" s="3"/>
      <c r="B540" s="3"/>
      <c r="C540" s="3"/>
      <c r="D540" s="3"/>
      <c r="E540" s="3"/>
      <c r="F540" s="3"/>
      <c r="G540" s="3"/>
      <c r="H540" s="3"/>
      <c r="I540" s="3"/>
      <c r="J540" s="3"/>
    </row>
    <row r="541" ht="15.75" customHeight="1">
      <c r="A541" s="3"/>
      <c r="B541" s="3"/>
      <c r="C541" s="3"/>
      <c r="D541" s="3"/>
      <c r="E541" s="3"/>
      <c r="F541" s="3"/>
      <c r="G541" s="3"/>
      <c r="H541" s="3"/>
      <c r="I541" s="3"/>
      <c r="J541" s="3"/>
    </row>
    <row r="542" ht="15.75" customHeight="1">
      <c r="A542" s="3"/>
      <c r="B542" s="3"/>
      <c r="C542" s="3"/>
      <c r="D542" s="3"/>
      <c r="E542" s="3"/>
      <c r="F542" s="3"/>
      <c r="G542" s="3"/>
      <c r="H542" s="3"/>
      <c r="I542" s="3"/>
      <c r="J542" s="3"/>
    </row>
    <row r="543" ht="15.75" customHeight="1">
      <c r="A543" s="3"/>
      <c r="B543" s="3"/>
      <c r="C543" s="3"/>
      <c r="D543" s="3"/>
      <c r="E543" s="3"/>
      <c r="F543" s="3"/>
      <c r="G543" s="3"/>
      <c r="H543" s="3"/>
      <c r="I543" s="3"/>
      <c r="J543" s="3"/>
    </row>
    <row r="544" ht="15.75" customHeight="1">
      <c r="A544" s="3"/>
      <c r="B544" s="3"/>
      <c r="C544" s="3"/>
      <c r="D544" s="3"/>
      <c r="E544" s="3"/>
      <c r="F544" s="3"/>
      <c r="G544" s="3"/>
      <c r="H544" s="3"/>
      <c r="I544" s="3"/>
      <c r="J544" s="3"/>
    </row>
    <row r="545" ht="15.75" customHeight="1">
      <c r="A545" s="3"/>
      <c r="B545" s="3"/>
      <c r="C545" s="3"/>
      <c r="D545" s="3"/>
      <c r="E545" s="3"/>
      <c r="F545" s="3"/>
      <c r="G545" s="3"/>
      <c r="H545" s="3"/>
      <c r="I545" s="3"/>
      <c r="J545" s="3"/>
    </row>
    <row r="546" ht="15.75" customHeight="1">
      <c r="A546" s="3"/>
      <c r="B546" s="3"/>
      <c r="C546" s="3"/>
      <c r="D546" s="3"/>
      <c r="E546" s="3"/>
      <c r="F546" s="3"/>
      <c r="G546" s="3"/>
      <c r="H546" s="3"/>
      <c r="I546" s="3"/>
      <c r="J546" s="3"/>
    </row>
    <row r="547" ht="15.75" customHeight="1">
      <c r="A547" s="3"/>
      <c r="B547" s="3"/>
      <c r="C547" s="3"/>
      <c r="D547" s="3"/>
      <c r="E547" s="3"/>
      <c r="F547" s="3"/>
      <c r="G547" s="3"/>
      <c r="H547" s="3"/>
      <c r="I547" s="3"/>
      <c r="J547" s="3"/>
    </row>
    <row r="548" ht="15.75" customHeight="1">
      <c r="A548" s="3"/>
      <c r="B548" s="3"/>
      <c r="C548" s="3"/>
      <c r="D548" s="3"/>
      <c r="E548" s="3"/>
      <c r="F548" s="3"/>
      <c r="G548" s="3"/>
      <c r="H548" s="3"/>
      <c r="I548" s="3"/>
      <c r="J548" s="3"/>
    </row>
    <row r="549" ht="15.75" customHeight="1">
      <c r="A549" s="3"/>
      <c r="B549" s="3"/>
      <c r="C549" s="3"/>
      <c r="D549" s="3"/>
      <c r="E549" s="3"/>
      <c r="F549" s="3"/>
      <c r="G549" s="3"/>
      <c r="H549" s="3"/>
      <c r="I549" s="3"/>
      <c r="J549" s="3"/>
    </row>
    <row r="550" ht="15.75" customHeight="1">
      <c r="A550" s="3"/>
      <c r="B550" s="3"/>
      <c r="C550" s="3"/>
      <c r="D550" s="3"/>
      <c r="E550" s="3"/>
      <c r="F550" s="3"/>
      <c r="G550" s="3"/>
      <c r="H550" s="3"/>
      <c r="I550" s="3"/>
      <c r="J550" s="3"/>
    </row>
    <row r="551" ht="15.75" customHeight="1">
      <c r="A551" s="3"/>
      <c r="B551" s="3"/>
      <c r="C551" s="3"/>
      <c r="D551" s="3"/>
      <c r="E551" s="3"/>
      <c r="F551" s="3"/>
      <c r="G551" s="3"/>
      <c r="H551" s="3"/>
      <c r="I551" s="3"/>
      <c r="J551" s="3"/>
    </row>
    <row r="552" ht="15.75" customHeight="1">
      <c r="A552" s="3"/>
      <c r="B552" s="3"/>
      <c r="C552" s="3"/>
      <c r="D552" s="3"/>
      <c r="E552" s="3"/>
      <c r="F552" s="3"/>
      <c r="G552" s="3"/>
      <c r="H552" s="3"/>
      <c r="I552" s="3"/>
      <c r="J552" s="3"/>
    </row>
    <row r="553" ht="15.75" customHeight="1">
      <c r="A553" s="3"/>
      <c r="B553" s="3"/>
      <c r="C553" s="3"/>
      <c r="D553" s="3"/>
      <c r="E553" s="3"/>
      <c r="F553" s="3"/>
      <c r="G553" s="3"/>
      <c r="H553" s="3"/>
      <c r="I553" s="3"/>
      <c r="J553" s="3"/>
    </row>
    <row r="554" ht="15.75" customHeight="1">
      <c r="A554" s="3"/>
      <c r="B554" s="3"/>
      <c r="C554" s="3"/>
      <c r="D554" s="3"/>
      <c r="E554" s="3"/>
      <c r="F554" s="3"/>
      <c r="G554" s="3"/>
      <c r="H554" s="3"/>
      <c r="I554" s="3"/>
      <c r="J554" s="3"/>
    </row>
    <row r="555" ht="15.75" customHeight="1">
      <c r="A555" s="3"/>
      <c r="B555" s="3"/>
      <c r="C555" s="3"/>
      <c r="D555" s="3"/>
      <c r="E555" s="3"/>
      <c r="F555" s="3"/>
      <c r="G555" s="3"/>
      <c r="H555" s="3"/>
      <c r="I555" s="3"/>
      <c r="J555" s="3"/>
    </row>
    <row r="556" ht="15.75" customHeight="1">
      <c r="A556" s="3"/>
      <c r="B556" s="3"/>
      <c r="C556" s="3"/>
      <c r="D556" s="3"/>
      <c r="E556" s="3"/>
      <c r="F556" s="3"/>
      <c r="G556" s="3"/>
      <c r="H556" s="3"/>
      <c r="I556" s="3"/>
      <c r="J556" s="3"/>
    </row>
    <row r="557" ht="15.75" customHeight="1">
      <c r="A557" s="3"/>
      <c r="B557" s="3"/>
      <c r="C557" s="3"/>
      <c r="D557" s="3"/>
      <c r="E557" s="3"/>
      <c r="F557" s="3"/>
      <c r="G557" s="3"/>
      <c r="H557" s="3"/>
      <c r="I557" s="3"/>
      <c r="J557" s="3"/>
    </row>
    <row r="558" ht="15.75" customHeight="1">
      <c r="A558" s="3"/>
      <c r="B558" s="3"/>
      <c r="C558" s="3"/>
      <c r="D558" s="3"/>
      <c r="E558" s="3"/>
      <c r="F558" s="3"/>
      <c r="G558" s="3"/>
      <c r="H558" s="3"/>
      <c r="I558" s="3"/>
      <c r="J558" s="3"/>
    </row>
    <row r="559" ht="15.75" customHeight="1">
      <c r="A559" s="3"/>
      <c r="B559" s="3"/>
      <c r="C559" s="3"/>
      <c r="D559" s="3"/>
      <c r="E559" s="3"/>
      <c r="F559" s="3"/>
      <c r="G559" s="3"/>
      <c r="H559" s="3"/>
      <c r="I559" s="3"/>
      <c r="J559" s="3"/>
    </row>
    <row r="560" ht="15.75" customHeight="1">
      <c r="A560" s="3"/>
      <c r="B560" s="3"/>
      <c r="C560" s="3"/>
      <c r="D560" s="3"/>
      <c r="E560" s="3"/>
      <c r="F560" s="3"/>
      <c r="G560" s="3"/>
      <c r="H560" s="3"/>
      <c r="I560" s="3"/>
      <c r="J560" s="3"/>
    </row>
    <row r="561" ht="15.75" customHeight="1">
      <c r="A561" s="3"/>
      <c r="B561" s="3"/>
      <c r="C561" s="3"/>
      <c r="D561" s="3"/>
      <c r="E561" s="3"/>
      <c r="F561" s="3"/>
      <c r="G561" s="3"/>
      <c r="H561" s="3"/>
      <c r="I561" s="3"/>
      <c r="J561" s="3"/>
    </row>
    <row r="562" ht="15.75" customHeight="1">
      <c r="A562" s="3"/>
      <c r="B562" s="3"/>
      <c r="C562" s="3"/>
      <c r="D562" s="3"/>
      <c r="E562" s="3"/>
      <c r="F562" s="3"/>
      <c r="G562" s="3"/>
      <c r="H562" s="3"/>
      <c r="I562" s="3"/>
      <c r="J562" s="3"/>
    </row>
    <row r="563" ht="15.75" customHeight="1">
      <c r="A563" s="3"/>
      <c r="B563" s="3"/>
      <c r="C563" s="3"/>
      <c r="D563" s="3"/>
      <c r="E563" s="3"/>
      <c r="F563" s="3"/>
      <c r="G563" s="3"/>
      <c r="H563" s="3"/>
      <c r="I563" s="3"/>
      <c r="J563" s="3"/>
    </row>
    <row r="564" ht="15.75" customHeight="1">
      <c r="A564" s="3"/>
      <c r="B564" s="3"/>
      <c r="C564" s="3"/>
      <c r="D564" s="3"/>
      <c r="E564" s="3"/>
      <c r="F564" s="3"/>
      <c r="G564" s="3"/>
      <c r="H564" s="3"/>
      <c r="I564" s="3"/>
      <c r="J564" s="3"/>
    </row>
    <row r="565" ht="15.75" customHeight="1">
      <c r="A565" s="3"/>
      <c r="B565" s="3"/>
      <c r="C565" s="3"/>
      <c r="D565" s="3"/>
      <c r="E565" s="3"/>
      <c r="F565" s="3"/>
      <c r="G565" s="3"/>
      <c r="H565" s="3"/>
      <c r="I565" s="3"/>
      <c r="J565" s="3"/>
    </row>
    <row r="566" ht="15.75" customHeight="1">
      <c r="A566" s="3"/>
      <c r="B566" s="3"/>
      <c r="C566" s="3"/>
      <c r="D566" s="3"/>
      <c r="E566" s="3"/>
      <c r="F566" s="3"/>
      <c r="G566" s="3"/>
      <c r="H566" s="3"/>
      <c r="I566" s="3"/>
      <c r="J566" s="3"/>
    </row>
    <row r="567" ht="15.75" customHeight="1">
      <c r="A567" s="3"/>
      <c r="B567" s="3"/>
      <c r="C567" s="3"/>
      <c r="D567" s="3"/>
      <c r="E567" s="3"/>
      <c r="F567" s="3"/>
      <c r="G567" s="3"/>
      <c r="H567" s="3"/>
      <c r="I567" s="3"/>
      <c r="J567" s="3"/>
    </row>
    <row r="568" ht="15.75" customHeight="1">
      <c r="A568" s="3"/>
      <c r="B568" s="3"/>
      <c r="C568" s="3"/>
      <c r="D568" s="3"/>
      <c r="E568" s="3"/>
      <c r="F568" s="3"/>
      <c r="G568" s="3"/>
      <c r="H568" s="3"/>
      <c r="I568" s="3"/>
      <c r="J568" s="3"/>
    </row>
    <row r="569" ht="15.75" customHeight="1">
      <c r="A569" s="3"/>
      <c r="B569" s="3"/>
      <c r="C569" s="3"/>
      <c r="D569" s="3"/>
      <c r="E569" s="3"/>
      <c r="F569" s="3"/>
      <c r="G569" s="3"/>
      <c r="H569" s="3"/>
      <c r="I569" s="3"/>
      <c r="J569" s="3"/>
    </row>
    <row r="570" ht="15.75" customHeight="1">
      <c r="A570" s="3"/>
      <c r="B570" s="3"/>
      <c r="C570" s="3"/>
      <c r="D570" s="3"/>
      <c r="E570" s="3"/>
      <c r="F570" s="3"/>
      <c r="G570" s="3"/>
      <c r="H570" s="3"/>
      <c r="I570" s="3"/>
      <c r="J570" s="3"/>
    </row>
    <row r="571" ht="15.75" customHeight="1">
      <c r="A571" s="3"/>
      <c r="B571" s="3"/>
      <c r="C571" s="3"/>
      <c r="D571" s="3"/>
      <c r="E571" s="3"/>
      <c r="F571" s="3"/>
      <c r="G571" s="3"/>
      <c r="H571" s="3"/>
      <c r="I571" s="3"/>
      <c r="J571" s="3"/>
    </row>
    <row r="572" ht="15.75" customHeight="1">
      <c r="A572" s="3"/>
      <c r="B572" s="3"/>
      <c r="C572" s="3"/>
      <c r="D572" s="3"/>
      <c r="E572" s="3"/>
      <c r="F572" s="3"/>
      <c r="G572" s="3"/>
      <c r="H572" s="3"/>
      <c r="I572" s="3"/>
      <c r="J572" s="3"/>
    </row>
    <row r="573" ht="15.75" customHeight="1">
      <c r="A573" s="3"/>
      <c r="B573" s="3"/>
      <c r="C573" s="3"/>
      <c r="D573" s="3"/>
      <c r="E573" s="3"/>
      <c r="F573" s="3"/>
      <c r="G573" s="3"/>
      <c r="H573" s="3"/>
      <c r="I573" s="3"/>
      <c r="J573" s="3"/>
    </row>
    <row r="574" ht="15.75" customHeight="1">
      <c r="A574" s="3"/>
      <c r="B574" s="3"/>
      <c r="C574" s="3"/>
      <c r="D574" s="3"/>
      <c r="E574" s="3"/>
      <c r="F574" s="3"/>
      <c r="G574" s="3"/>
      <c r="H574" s="3"/>
      <c r="I574" s="3"/>
      <c r="J574" s="3"/>
    </row>
    <row r="575" ht="15.75" customHeight="1">
      <c r="A575" s="3"/>
      <c r="B575" s="3"/>
      <c r="C575" s="3"/>
      <c r="D575" s="3"/>
      <c r="E575" s="3"/>
      <c r="F575" s="3"/>
      <c r="G575" s="3"/>
      <c r="H575" s="3"/>
      <c r="I575" s="3"/>
      <c r="J575" s="3"/>
    </row>
    <row r="576" ht="15.75" customHeight="1">
      <c r="A576" s="3"/>
      <c r="B576" s="3"/>
      <c r="C576" s="3"/>
      <c r="D576" s="3"/>
      <c r="E576" s="3"/>
      <c r="F576" s="3"/>
      <c r="G576" s="3"/>
      <c r="H576" s="3"/>
      <c r="I576" s="3"/>
      <c r="J576" s="3"/>
    </row>
    <row r="577" ht="15.75" customHeight="1">
      <c r="A577" s="3"/>
      <c r="B577" s="3"/>
      <c r="C577" s="3"/>
      <c r="D577" s="3"/>
      <c r="E577" s="3"/>
      <c r="F577" s="3"/>
      <c r="G577" s="3"/>
      <c r="H577" s="3"/>
      <c r="I577" s="3"/>
      <c r="J577" s="3"/>
    </row>
    <row r="578" ht="15.75" customHeight="1">
      <c r="A578" s="3"/>
      <c r="B578" s="3"/>
      <c r="C578" s="3"/>
      <c r="D578" s="3"/>
      <c r="E578" s="3"/>
      <c r="F578" s="3"/>
      <c r="G578" s="3"/>
      <c r="H578" s="3"/>
      <c r="I578" s="3"/>
      <c r="J578" s="3"/>
    </row>
    <row r="579" ht="15.75" customHeight="1">
      <c r="A579" s="3"/>
      <c r="B579" s="3"/>
      <c r="C579" s="3"/>
      <c r="D579" s="3"/>
      <c r="E579" s="3"/>
      <c r="F579" s="3"/>
      <c r="G579" s="3"/>
      <c r="H579" s="3"/>
      <c r="I579" s="3"/>
      <c r="J579" s="3"/>
    </row>
    <row r="580" ht="15.75" customHeight="1">
      <c r="A580" s="3"/>
      <c r="B580" s="3"/>
      <c r="C580" s="3"/>
      <c r="D580" s="3"/>
      <c r="E580" s="3"/>
      <c r="F580" s="3"/>
      <c r="G580" s="3"/>
      <c r="H580" s="3"/>
      <c r="I580" s="3"/>
      <c r="J580" s="3"/>
    </row>
    <row r="581" ht="15.75" customHeight="1">
      <c r="A581" s="3"/>
      <c r="B581" s="3"/>
      <c r="C581" s="3"/>
      <c r="D581" s="3"/>
      <c r="E581" s="3"/>
      <c r="F581" s="3"/>
      <c r="G581" s="3"/>
      <c r="H581" s="3"/>
      <c r="I581" s="3"/>
      <c r="J581" s="3"/>
    </row>
    <row r="582" ht="15.75" customHeight="1">
      <c r="A582" s="3"/>
      <c r="B582" s="3"/>
      <c r="C582" s="3"/>
      <c r="D582" s="3"/>
      <c r="E582" s="3"/>
      <c r="F582" s="3"/>
      <c r="G582" s="3"/>
      <c r="H582" s="3"/>
      <c r="I582" s="3"/>
      <c r="J582" s="3"/>
    </row>
    <row r="583" ht="15.75" customHeight="1">
      <c r="A583" s="3"/>
      <c r="B583" s="3"/>
      <c r="C583" s="3"/>
      <c r="D583" s="3"/>
      <c r="E583" s="3"/>
      <c r="F583" s="3"/>
      <c r="G583" s="3"/>
      <c r="H583" s="3"/>
      <c r="I583" s="3"/>
      <c r="J583" s="3"/>
    </row>
    <row r="584" ht="15.75" customHeight="1">
      <c r="A584" s="3"/>
      <c r="B584" s="3"/>
      <c r="C584" s="3"/>
      <c r="D584" s="3"/>
      <c r="E584" s="3"/>
      <c r="F584" s="3"/>
      <c r="G584" s="3"/>
      <c r="H584" s="3"/>
      <c r="I584" s="3"/>
      <c r="J584" s="3"/>
    </row>
    <row r="585" ht="15.75" customHeight="1">
      <c r="A585" s="3"/>
      <c r="B585" s="3"/>
      <c r="C585" s="3"/>
      <c r="D585" s="3"/>
      <c r="E585" s="3"/>
      <c r="F585" s="3"/>
      <c r="G585" s="3"/>
      <c r="H585" s="3"/>
      <c r="I585" s="3"/>
      <c r="J585" s="3"/>
    </row>
    <row r="586" ht="15.75" customHeight="1">
      <c r="A586" s="3"/>
      <c r="B586" s="3"/>
      <c r="C586" s="3"/>
      <c r="D586" s="3"/>
      <c r="E586" s="3"/>
      <c r="F586" s="3"/>
      <c r="G586" s="3"/>
      <c r="H586" s="3"/>
      <c r="I586" s="3"/>
      <c r="J586" s="3"/>
    </row>
    <row r="587" ht="15.75" customHeight="1">
      <c r="A587" s="3"/>
      <c r="B587" s="3"/>
      <c r="C587" s="3"/>
      <c r="D587" s="3"/>
      <c r="E587" s="3"/>
      <c r="F587" s="3"/>
      <c r="G587" s="3"/>
      <c r="H587" s="3"/>
      <c r="I587" s="3"/>
      <c r="J587" s="3"/>
    </row>
    <row r="588" ht="15.75" customHeight="1">
      <c r="A588" s="3"/>
      <c r="B588" s="3"/>
      <c r="C588" s="3"/>
      <c r="D588" s="3"/>
      <c r="E588" s="3"/>
      <c r="F588" s="3"/>
      <c r="G588" s="3"/>
      <c r="H588" s="3"/>
      <c r="I588" s="3"/>
      <c r="J588" s="3"/>
    </row>
    <row r="589" ht="15.75" customHeight="1">
      <c r="A589" s="3"/>
      <c r="B589" s="3"/>
      <c r="C589" s="3"/>
      <c r="D589" s="3"/>
      <c r="E589" s="3"/>
      <c r="F589" s="3"/>
      <c r="G589" s="3"/>
      <c r="H589" s="3"/>
      <c r="I589" s="3"/>
      <c r="J589" s="3"/>
    </row>
    <row r="590" ht="15.75" customHeight="1">
      <c r="A590" s="3"/>
      <c r="B590" s="3"/>
      <c r="C590" s="3"/>
      <c r="D590" s="3"/>
      <c r="E590" s="3"/>
      <c r="F590" s="3"/>
      <c r="G590" s="3"/>
      <c r="H590" s="3"/>
      <c r="I590" s="3"/>
      <c r="J590" s="3"/>
    </row>
    <row r="591" ht="15.75" customHeight="1">
      <c r="A591" s="3"/>
      <c r="B591" s="3"/>
      <c r="C591" s="3"/>
      <c r="D591" s="3"/>
      <c r="E591" s="3"/>
      <c r="F591" s="3"/>
      <c r="G591" s="3"/>
      <c r="H591" s="3"/>
      <c r="I591" s="3"/>
      <c r="J591" s="3"/>
    </row>
    <row r="592" ht="15.75" customHeight="1">
      <c r="A592" s="3"/>
      <c r="B592" s="3"/>
      <c r="C592" s="3"/>
      <c r="D592" s="3"/>
      <c r="E592" s="3"/>
      <c r="F592" s="3"/>
      <c r="G592" s="3"/>
      <c r="H592" s="3"/>
      <c r="I592" s="3"/>
      <c r="J592" s="3"/>
    </row>
    <row r="593" ht="15.75" customHeight="1">
      <c r="A593" s="3"/>
      <c r="B593" s="3"/>
      <c r="C593" s="3"/>
      <c r="D593" s="3"/>
      <c r="E593" s="3"/>
      <c r="F593" s="3"/>
      <c r="G593" s="3"/>
      <c r="H593" s="3"/>
      <c r="I593" s="3"/>
      <c r="J593" s="3"/>
    </row>
    <row r="594" ht="15.75" customHeight="1">
      <c r="A594" s="3"/>
      <c r="B594" s="3"/>
      <c r="C594" s="3"/>
      <c r="D594" s="3"/>
      <c r="E594" s="3"/>
      <c r="F594" s="3"/>
      <c r="G594" s="3"/>
      <c r="H594" s="3"/>
      <c r="I594" s="3"/>
      <c r="J594" s="3"/>
    </row>
    <row r="595" ht="15.75" customHeight="1">
      <c r="A595" s="3"/>
      <c r="B595" s="3"/>
      <c r="C595" s="3"/>
      <c r="D595" s="3"/>
      <c r="E595" s="3"/>
      <c r="F595" s="3"/>
      <c r="G595" s="3"/>
      <c r="H595" s="3"/>
      <c r="I595" s="3"/>
      <c r="J595" s="3"/>
    </row>
    <row r="596" ht="15.75" customHeight="1">
      <c r="A596" s="3"/>
      <c r="B596" s="3"/>
      <c r="C596" s="3"/>
      <c r="D596" s="3"/>
      <c r="E596" s="3"/>
      <c r="F596" s="3"/>
      <c r="G596" s="3"/>
      <c r="H596" s="3"/>
      <c r="I596" s="3"/>
      <c r="J596" s="3"/>
    </row>
    <row r="597" ht="15.75" customHeight="1">
      <c r="A597" s="3"/>
      <c r="B597" s="3"/>
      <c r="C597" s="3"/>
      <c r="D597" s="3"/>
      <c r="E597" s="3"/>
      <c r="F597" s="3"/>
      <c r="G597" s="3"/>
      <c r="H597" s="3"/>
      <c r="I597" s="3"/>
      <c r="J597" s="3"/>
    </row>
    <row r="598" ht="15.75" customHeight="1">
      <c r="A598" s="3"/>
      <c r="B598" s="3"/>
      <c r="C598" s="3"/>
      <c r="D598" s="3"/>
      <c r="E598" s="3"/>
      <c r="F598" s="3"/>
      <c r="G598" s="3"/>
      <c r="H598" s="3"/>
      <c r="I598" s="3"/>
      <c r="J598" s="3"/>
    </row>
    <row r="599" ht="15.75" customHeight="1">
      <c r="A599" s="3"/>
      <c r="B599" s="3"/>
      <c r="C599" s="3"/>
      <c r="D599" s="3"/>
      <c r="E599" s="3"/>
      <c r="F599" s="3"/>
      <c r="G599" s="3"/>
      <c r="H599" s="3"/>
      <c r="I599" s="3"/>
      <c r="J599" s="3"/>
    </row>
    <row r="600" ht="15.75" customHeight="1">
      <c r="A600" s="3"/>
      <c r="B600" s="3"/>
      <c r="C600" s="3"/>
      <c r="D600" s="3"/>
      <c r="E600" s="3"/>
      <c r="F600" s="3"/>
      <c r="G600" s="3"/>
      <c r="H600" s="3"/>
      <c r="I600" s="3"/>
      <c r="J600" s="3"/>
    </row>
    <row r="601" ht="15.75" customHeight="1">
      <c r="A601" s="3"/>
      <c r="B601" s="3"/>
      <c r="C601" s="3"/>
      <c r="D601" s="3"/>
      <c r="E601" s="3"/>
      <c r="F601" s="3"/>
      <c r="G601" s="3"/>
      <c r="H601" s="3"/>
      <c r="I601" s="3"/>
      <c r="J601" s="3"/>
    </row>
    <row r="602" ht="15.75" customHeight="1">
      <c r="A602" s="3"/>
      <c r="B602" s="3"/>
      <c r="C602" s="3"/>
      <c r="D602" s="3"/>
      <c r="E602" s="3"/>
      <c r="F602" s="3"/>
      <c r="G602" s="3"/>
      <c r="H602" s="3"/>
      <c r="I602" s="3"/>
      <c r="J602" s="3"/>
    </row>
    <row r="603" ht="15.75" customHeight="1">
      <c r="A603" s="3"/>
      <c r="B603" s="3"/>
      <c r="C603" s="3"/>
      <c r="D603" s="3"/>
      <c r="E603" s="3"/>
      <c r="F603" s="3"/>
      <c r="G603" s="3"/>
      <c r="H603" s="3"/>
      <c r="I603" s="3"/>
      <c r="J603" s="3"/>
    </row>
    <row r="604" ht="15.75" customHeight="1">
      <c r="A604" s="3"/>
      <c r="B604" s="3"/>
      <c r="C604" s="3"/>
      <c r="D604" s="3"/>
      <c r="E604" s="3"/>
      <c r="F604" s="3"/>
      <c r="G604" s="3"/>
      <c r="H604" s="3"/>
      <c r="I604" s="3"/>
      <c r="J604" s="3"/>
    </row>
    <row r="605" ht="15.75" customHeight="1">
      <c r="A605" s="3"/>
      <c r="B605" s="3"/>
      <c r="C605" s="3"/>
      <c r="D605" s="3"/>
      <c r="E605" s="3"/>
      <c r="F605" s="3"/>
      <c r="G605" s="3"/>
      <c r="H605" s="3"/>
      <c r="I605" s="3"/>
      <c r="J605" s="3"/>
    </row>
    <row r="606" ht="15.75" customHeight="1">
      <c r="A606" s="3"/>
      <c r="B606" s="3"/>
      <c r="C606" s="3"/>
      <c r="D606" s="3"/>
      <c r="E606" s="3"/>
      <c r="F606" s="3"/>
      <c r="G606" s="3"/>
      <c r="H606" s="3"/>
      <c r="I606" s="3"/>
      <c r="J606" s="3"/>
    </row>
    <row r="607" ht="15.75" customHeight="1">
      <c r="A607" s="3"/>
      <c r="B607" s="3"/>
      <c r="C607" s="3"/>
      <c r="D607" s="3"/>
      <c r="E607" s="3"/>
      <c r="F607" s="3"/>
      <c r="G607" s="3"/>
      <c r="H607" s="3"/>
      <c r="I607" s="3"/>
      <c r="J607" s="3"/>
    </row>
    <row r="608" ht="15.75" customHeight="1">
      <c r="A608" s="3"/>
      <c r="B608" s="3"/>
      <c r="C608" s="3"/>
      <c r="D608" s="3"/>
      <c r="E608" s="3"/>
      <c r="F608" s="3"/>
      <c r="G608" s="3"/>
      <c r="H608" s="3"/>
      <c r="I608" s="3"/>
      <c r="J608" s="3"/>
    </row>
    <row r="609" ht="15.75" customHeight="1">
      <c r="A609" s="3"/>
      <c r="B609" s="3"/>
      <c r="C609" s="3"/>
      <c r="D609" s="3"/>
      <c r="E609" s="3"/>
      <c r="F609" s="3"/>
      <c r="G609" s="3"/>
      <c r="H609" s="3"/>
      <c r="I609" s="3"/>
      <c r="J609" s="3"/>
    </row>
    <row r="610" ht="15.75" customHeight="1">
      <c r="A610" s="3"/>
      <c r="B610" s="3"/>
      <c r="C610" s="3"/>
      <c r="D610" s="3"/>
      <c r="E610" s="3"/>
      <c r="F610" s="3"/>
      <c r="G610" s="3"/>
      <c r="H610" s="3"/>
      <c r="I610" s="3"/>
      <c r="J610" s="3"/>
    </row>
    <row r="611" ht="15.75" customHeight="1">
      <c r="A611" s="3"/>
      <c r="B611" s="3"/>
      <c r="C611" s="3"/>
      <c r="D611" s="3"/>
      <c r="E611" s="3"/>
      <c r="F611" s="3"/>
      <c r="G611" s="3"/>
      <c r="H611" s="3"/>
      <c r="I611" s="3"/>
      <c r="J611" s="3"/>
    </row>
    <row r="612" ht="15.75" customHeight="1">
      <c r="A612" s="3"/>
      <c r="B612" s="3"/>
      <c r="C612" s="3"/>
      <c r="D612" s="3"/>
      <c r="E612" s="3"/>
      <c r="F612" s="3"/>
      <c r="G612" s="3"/>
      <c r="H612" s="3"/>
      <c r="I612" s="3"/>
      <c r="J612" s="3"/>
    </row>
    <row r="613" ht="15.75" customHeight="1">
      <c r="A613" s="3"/>
      <c r="B613" s="3"/>
      <c r="C613" s="3"/>
      <c r="D613" s="3"/>
      <c r="E613" s="3"/>
      <c r="F613" s="3"/>
      <c r="G613" s="3"/>
      <c r="H613" s="3"/>
      <c r="I613" s="3"/>
      <c r="J613" s="3"/>
    </row>
    <row r="614" ht="15.75" customHeight="1">
      <c r="A614" s="3"/>
      <c r="B614" s="3"/>
      <c r="C614" s="3"/>
      <c r="D614" s="3"/>
      <c r="E614" s="3"/>
      <c r="F614" s="3"/>
      <c r="G614" s="3"/>
      <c r="H614" s="3"/>
      <c r="I614" s="3"/>
      <c r="J614" s="3"/>
    </row>
    <row r="615" ht="15.75" customHeight="1">
      <c r="A615" s="3"/>
      <c r="B615" s="3"/>
      <c r="C615" s="3"/>
      <c r="D615" s="3"/>
      <c r="E615" s="3"/>
      <c r="F615" s="3"/>
      <c r="G615" s="3"/>
      <c r="H615" s="3"/>
      <c r="I615" s="3"/>
      <c r="J615" s="3"/>
    </row>
    <row r="616" ht="15.75" customHeight="1">
      <c r="A616" s="3"/>
      <c r="B616" s="3"/>
      <c r="C616" s="3"/>
      <c r="D616" s="3"/>
      <c r="E616" s="3"/>
      <c r="F616" s="3"/>
      <c r="G616" s="3"/>
      <c r="H616" s="3"/>
      <c r="I616" s="3"/>
      <c r="J616" s="3"/>
    </row>
    <row r="617" ht="15.75" customHeight="1">
      <c r="A617" s="3"/>
      <c r="B617" s="3"/>
      <c r="C617" s="3"/>
      <c r="D617" s="3"/>
      <c r="E617" s="3"/>
      <c r="F617" s="3"/>
      <c r="G617" s="3"/>
      <c r="H617" s="3"/>
      <c r="I617" s="3"/>
      <c r="J617" s="3"/>
    </row>
    <row r="618" ht="15.75" customHeight="1">
      <c r="A618" s="3"/>
      <c r="B618" s="3"/>
      <c r="C618" s="3"/>
      <c r="D618" s="3"/>
      <c r="E618" s="3"/>
      <c r="F618" s="3"/>
      <c r="G618" s="3"/>
      <c r="H618" s="3"/>
      <c r="I618" s="3"/>
      <c r="J618" s="3"/>
    </row>
    <row r="619" ht="15.75" customHeight="1">
      <c r="A619" s="3"/>
      <c r="B619" s="3"/>
      <c r="C619" s="3"/>
      <c r="D619" s="3"/>
      <c r="E619" s="3"/>
      <c r="F619" s="3"/>
      <c r="G619" s="3"/>
      <c r="H619" s="3"/>
      <c r="I619" s="3"/>
      <c r="J619" s="3"/>
    </row>
    <row r="620" ht="15.75" customHeight="1">
      <c r="A620" s="3"/>
      <c r="B620" s="3"/>
      <c r="C620" s="3"/>
      <c r="D620" s="3"/>
      <c r="E620" s="3"/>
      <c r="F620" s="3"/>
      <c r="G620" s="3"/>
      <c r="H620" s="3"/>
      <c r="I620" s="3"/>
      <c r="J620" s="3"/>
    </row>
    <row r="621" ht="15.75" customHeight="1">
      <c r="A621" s="3"/>
      <c r="B621" s="3"/>
      <c r="C621" s="3"/>
      <c r="D621" s="3"/>
      <c r="E621" s="3"/>
      <c r="F621" s="3"/>
      <c r="G621" s="3"/>
      <c r="H621" s="3"/>
      <c r="I621" s="3"/>
      <c r="J621" s="3"/>
    </row>
    <row r="622" ht="15.75" customHeight="1">
      <c r="A622" s="3"/>
      <c r="B622" s="3"/>
      <c r="C622" s="3"/>
      <c r="D622" s="3"/>
      <c r="E622" s="3"/>
      <c r="F622" s="3"/>
      <c r="G622" s="3"/>
      <c r="H622" s="3"/>
      <c r="I622" s="3"/>
      <c r="J622" s="3"/>
    </row>
    <row r="623" ht="15.75" customHeight="1">
      <c r="A623" s="3"/>
      <c r="B623" s="3"/>
      <c r="C623" s="3"/>
      <c r="D623" s="3"/>
      <c r="E623" s="3"/>
      <c r="F623" s="3"/>
      <c r="G623" s="3"/>
      <c r="H623" s="3"/>
      <c r="I623" s="3"/>
      <c r="J623" s="3"/>
    </row>
    <row r="624" ht="15.75" customHeight="1">
      <c r="A624" s="3"/>
      <c r="B624" s="3"/>
      <c r="C624" s="3"/>
      <c r="D624" s="3"/>
      <c r="E624" s="3"/>
      <c r="F624" s="3"/>
      <c r="G624" s="3"/>
      <c r="H624" s="3"/>
      <c r="I624" s="3"/>
      <c r="J624" s="3"/>
    </row>
    <row r="625" ht="15.75" customHeight="1">
      <c r="A625" s="3"/>
      <c r="B625" s="3"/>
      <c r="C625" s="3"/>
      <c r="D625" s="3"/>
      <c r="E625" s="3"/>
      <c r="F625" s="3"/>
      <c r="G625" s="3"/>
      <c r="H625" s="3"/>
      <c r="I625" s="3"/>
      <c r="J625" s="3"/>
    </row>
    <row r="626" ht="15.75" customHeight="1">
      <c r="A626" s="3"/>
      <c r="B626" s="3"/>
      <c r="C626" s="3"/>
      <c r="D626" s="3"/>
      <c r="E626" s="3"/>
      <c r="F626" s="3"/>
      <c r="G626" s="3"/>
      <c r="H626" s="3"/>
      <c r="I626" s="3"/>
      <c r="J626" s="3"/>
    </row>
    <row r="627" ht="15.75" customHeight="1">
      <c r="A627" s="3"/>
      <c r="B627" s="3"/>
      <c r="C627" s="3"/>
      <c r="D627" s="3"/>
      <c r="E627" s="3"/>
      <c r="F627" s="3"/>
      <c r="G627" s="3"/>
      <c r="H627" s="3"/>
      <c r="I627" s="3"/>
      <c r="J627" s="3"/>
    </row>
    <row r="628" ht="15.75" customHeight="1">
      <c r="A628" s="3"/>
      <c r="B628" s="3"/>
      <c r="C628" s="3"/>
      <c r="D628" s="3"/>
      <c r="E628" s="3"/>
      <c r="F628" s="3"/>
      <c r="G628" s="3"/>
      <c r="H628" s="3"/>
      <c r="I628" s="3"/>
      <c r="J628" s="3"/>
    </row>
    <row r="629" ht="15.75" customHeight="1">
      <c r="A629" s="3"/>
      <c r="B629" s="3"/>
      <c r="C629" s="3"/>
      <c r="D629" s="3"/>
      <c r="E629" s="3"/>
      <c r="F629" s="3"/>
      <c r="G629" s="3"/>
      <c r="H629" s="3"/>
      <c r="I629" s="3"/>
      <c r="J629" s="3"/>
    </row>
    <row r="630" ht="15.75" customHeight="1">
      <c r="A630" s="3"/>
      <c r="B630" s="3"/>
      <c r="C630" s="3"/>
      <c r="D630" s="3"/>
      <c r="E630" s="3"/>
      <c r="F630" s="3"/>
      <c r="G630" s="3"/>
      <c r="H630" s="3"/>
      <c r="I630" s="3"/>
      <c r="J630" s="3"/>
    </row>
    <row r="631" ht="15.75" customHeight="1">
      <c r="A631" s="3"/>
      <c r="B631" s="3"/>
      <c r="C631" s="3"/>
      <c r="D631" s="3"/>
      <c r="E631" s="3"/>
      <c r="F631" s="3"/>
      <c r="G631" s="3"/>
      <c r="H631" s="3"/>
      <c r="I631" s="3"/>
      <c r="J631" s="3"/>
    </row>
    <row r="632" ht="15.75" customHeight="1">
      <c r="A632" s="3"/>
      <c r="B632" s="3"/>
      <c r="C632" s="3"/>
      <c r="D632" s="3"/>
      <c r="E632" s="3"/>
      <c r="F632" s="3"/>
      <c r="G632" s="3"/>
      <c r="H632" s="3"/>
      <c r="I632" s="3"/>
      <c r="J632" s="3"/>
    </row>
    <row r="633" ht="15.75" customHeight="1">
      <c r="A633" s="3"/>
      <c r="B633" s="3"/>
      <c r="C633" s="3"/>
      <c r="D633" s="3"/>
      <c r="E633" s="3"/>
      <c r="F633" s="3"/>
      <c r="G633" s="3"/>
      <c r="H633" s="3"/>
      <c r="I633" s="3"/>
      <c r="J633" s="3"/>
    </row>
    <row r="634" ht="15.75" customHeight="1">
      <c r="A634" s="3"/>
      <c r="B634" s="3"/>
      <c r="C634" s="3"/>
      <c r="D634" s="3"/>
      <c r="E634" s="3"/>
      <c r="F634" s="3"/>
      <c r="G634" s="3"/>
      <c r="H634" s="3"/>
      <c r="I634" s="3"/>
      <c r="J634" s="3"/>
    </row>
    <row r="635" ht="15.75" customHeight="1">
      <c r="A635" s="3"/>
      <c r="B635" s="3"/>
      <c r="C635" s="3"/>
      <c r="D635" s="3"/>
      <c r="E635" s="3"/>
      <c r="F635" s="3"/>
      <c r="G635" s="3"/>
      <c r="H635" s="3"/>
      <c r="I635" s="3"/>
      <c r="J635" s="3"/>
    </row>
    <row r="636" ht="15.75" customHeight="1">
      <c r="A636" s="3"/>
      <c r="B636" s="3"/>
      <c r="C636" s="3"/>
      <c r="D636" s="3"/>
      <c r="E636" s="3"/>
      <c r="F636" s="3"/>
      <c r="G636" s="3"/>
      <c r="H636" s="3"/>
      <c r="I636" s="3"/>
      <c r="J636" s="3"/>
    </row>
    <row r="637" ht="15.75" customHeight="1">
      <c r="A637" s="3"/>
      <c r="B637" s="3"/>
      <c r="C637" s="3"/>
      <c r="D637" s="3"/>
      <c r="E637" s="3"/>
      <c r="F637" s="3"/>
      <c r="G637" s="3"/>
      <c r="H637" s="3"/>
      <c r="I637" s="3"/>
      <c r="J637" s="3"/>
    </row>
    <row r="638" ht="15.75" customHeight="1">
      <c r="A638" s="3"/>
      <c r="B638" s="3"/>
      <c r="C638" s="3"/>
      <c r="D638" s="3"/>
      <c r="E638" s="3"/>
      <c r="F638" s="3"/>
      <c r="G638" s="3"/>
      <c r="H638" s="3"/>
      <c r="I638" s="3"/>
      <c r="J638" s="3"/>
    </row>
    <row r="639" ht="15.75" customHeight="1">
      <c r="A639" s="3"/>
      <c r="B639" s="3"/>
      <c r="C639" s="3"/>
      <c r="D639" s="3"/>
      <c r="E639" s="3"/>
      <c r="F639" s="3"/>
      <c r="G639" s="3"/>
      <c r="H639" s="3"/>
      <c r="I639" s="3"/>
      <c r="J639" s="3"/>
    </row>
    <row r="640" ht="15.75" customHeight="1">
      <c r="A640" s="3"/>
      <c r="B640" s="3"/>
      <c r="C640" s="3"/>
      <c r="D640" s="3"/>
      <c r="E640" s="3"/>
      <c r="F640" s="3"/>
      <c r="G640" s="3"/>
      <c r="H640" s="3"/>
      <c r="I640" s="3"/>
      <c r="J640" s="3"/>
    </row>
    <row r="641" ht="15.75" customHeight="1">
      <c r="A641" s="3"/>
      <c r="B641" s="3"/>
      <c r="C641" s="3"/>
      <c r="D641" s="3"/>
      <c r="E641" s="3"/>
      <c r="F641" s="3"/>
      <c r="G641" s="3"/>
      <c r="H641" s="3"/>
      <c r="I641" s="3"/>
      <c r="J641" s="3"/>
    </row>
    <row r="642" ht="15.75" customHeight="1">
      <c r="A642" s="3"/>
      <c r="B642" s="3"/>
      <c r="C642" s="3"/>
      <c r="D642" s="3"/>
      <c r="E642" s="3"/>
      <c r="F642" s="3"/>
      <c r="G642" s="3"/>
      <c r="H642" s="3"/>
      <c r="I642" s="3"/>
      <c r="J642" s="3"/>
    </row>
    <row r="643" ht="15.75" customHeight="1">
      <c r="A643" s="3"/>
      <c r="B643" s="3"/>
      <c r="C643" s="3"/>
      <c r="D643" s="3"/>
      <c r="E643" s="3"/>
      <c r="F643" s="3"/>
      <c r="G643" s="3"/>
      <c r="H643" s="3"/>
      <c r="I643" s="3"/>
      <c r="J643" s="3"/>
    </row>
    <row r="644" ht="15.75" customHeight="1">
      <c r="A644" s="3"/>
      <c r="B644" s="3"/>
      <c r="C644" s="3"/>
      <c r="D644" s="3"/>
      <c r="E644" s="3"/>
      <c r="F644" s="3"/>
      <c r="G644" s="3"/>
      <c r="H644" s="3"/>
      <c r="I644" s="3"/>
      <c r="J644" s="3"/>
    </row>
    <row r="645" ht="15.75" customHeight="1">
      <c r="A645" s="3"/>
      <c r="B645" s="3"/>
      <c r="C645" s="3"/>
      <c r="D645" s="3"/>
      <c r="E645" s="3"/>
      <c r="F645" s="3"/>
      <c r="G645" s="3"/>
      <c r="H645" s="3"/>
      <c r="I645" s="3"/>
      <c r="J645" s="3"/>
    </row>
    <row r="646" ht="15.75" customHeight="1">
      <c r="A646" s="3"/>
      <c r="B646" s="3"/>
      <c r="C646" s="3"/>
      <c r="D646" s="3"/>
      <c r="E646" s="3"/>
      <c r="F646" s="3"/>
      <c r="G646" s="3"/>
      <c r="H646" s="3"/>
      <c r="I646" s="3"/>
      <c r="J646" s="3"/>
    </row>
    <row r="647" ht="15.75" customHeight="1">
      <c r="A647" s="3"/>
      <c r="B647" s="3"/>
      <c r="C647" s="3"/>
      <c r="D647" s="3"/>
      <c r="E647" s="3"/>
      <c r="F647" s="3"/>
      <c r="G647" s="3"/>
      <c r="H647" s="3"/>
      <c r="I647" s="3"/>
      <c r="J647" s="3"/>
    </row>
    <row r="648" ht="15.75" customHeight="1">
      <c r="A648" s="3"/>
      <c r="B648" s="3"/>
      <c r="C648" s="3"/>
      <c r="D648" s="3"/>
      <c r="E648" s="3"/>
      <c r="F648" s="3"/>
      <c r="G648" s="3"/>
      <c r="H648" s="3"/>
      <c r="I648" s="3"/>
      <c r="J648" s="3"/>
    </row>
    <row r="649" ht="15.75" customHeight="1">
      <c r="A649" s="3"/>
      <c r="B649" s="3"/>
      <c r="C649" s="3"/>
      <c r="D649" s="3"/>
      <c r="E649" s="3"/>
      <c r="F649" s="3"/>
      <c r="G649" s="3"/>
      <c r="H649" s="3"/>
      <c r="I649" s="3"/>
      <c r="J649" s="3"/>
    </row>
    <row r="650" ht="15.75" customHeight="1">
      <c r="A650" s="3"/>
      <c r="B650" s="3"/>
      <c r="C650" s="3"/>
      <c r="D650" s="3"/>
      <c r="E650" s="3"/>
      <c r="F650" s="3"/>
      <c r="G650" s="3"/>
      <c r="H650" s="3"/>
      <c r="I650" s="3"/>
      <c r="J650" s="3"/>
    </row>
    <row r="651" ht="15.75" customHeight="1">
      <c r="A651" s="3"/>
      <c r="B651" s="3"/>
      <c r="C651" s="3"/>
      <c r="D651" s="3"/>
      <c r="E651" s="3"/>
      <c r="F651" s="3"/>
      <c r="G651" s="3"/>
      <c r="H651" s="3"/>
      <c r="I651" s="3"/>
      <c r="J651" s="3"/>
    </row>
    <row r="652" ht="15.75" customHeight="1">
      <c r="A652" s="3"/>
      <c r="B652" s="3"/>
      <c r="C652" s="3"/>
      <c r="D652" s="3"/>
      <c r="E652" s="3"/>
      <c r="F652" s="3"/>
      <c r="G652" s="3"/>
      <c r="H652" s="3"/>
      <c r="I652" s="3"/>
      <c r="J652" s="3"/>
    </row>
    <row r="653" ht="15.75" customHeight="1">
      <c r="A653" s="3"/>
      <c r="B653" s="3"/>
      <c r="C653" s="3"/>
      <c r="D653" s="3"/>
      <c r="E653" s="3"/>
      <c r="F653" s="3"/>
      <c r="G653" s="3"/>
      <c r="H653" s="3"/>
      <c r="I653" s="3"/>
      <c r="J653" s="3"/>
    </row>
    <row r="654" ht="15.75" customHeight="1">
      <c r="A654" s="3"/>
      <c r="B654" s="3"/>
      <c r="C654" s="3"/>
      <c r="D654" s="3"/>
      <c r="E654" s="3"/>
      <c r="F654" s="3"/>
      <c r="G654" s="3"/>
      <c r="H654" s="3"/>
      <c r="I654" s="3"/>
      <c r="J654" s="3"/>
    </row>
    <row r="655" ht="15.75" customHeight="1">
      <c r="A655" s="3"/>
      <c r="B655" s="3"/>
      <c r="C655" s="3"/>
      <c r="D655" s="3"/>
      <c r="E655" s="3"/>
      <c r="F655" s="3"/>
      <c r="G655" s="3"/>
      <c r="H655" s="3"/>
      <c r="I655" s="3"/>
      <c r="J655" s="3"/>
    </row>
    <row r="656" ht="15.75" customHeight="1">
      <c r="A656" s="3"/>
      <c r="B656" s="3"/>
      <c r="C656" s="3"/>
      <c r="D656" s="3"/>
      <c r="E656" s="3"/>
      <c r="F656" s="3"/>
      <c r="G656" s="3"/>
      <c r="H656" s="3"/>
      <c r="I656" s="3"/>
      <c r="J656" s="3"/>
    </row>
    <row r="657" ht="15.75" customHeight="1">
      <c r="A657" s="3"/>
      <c r="B657" s="3"/>
      <c r="C657" s="3"/>
      <c r="D657" s="3"/>
      <c r="E657" s="3"/>
      <c r="F657" s="3"/>
      <c r="G657" s="3"/>
      <c r="H657" s="3"/>
      <c r="I657" s="3"/>
      <c r="J657" s="3"/>
    </row>
    <row r="658" ht="15.75" customHeight="1">
      <c r="A658" s="3"/>
      <c r="B658" s="3"/>
      <c r="C658" s="3"/>
      <c r="D658" s="3"/>
      <c r="E658" s="3"/>
      <c r="F658" s="3"/>
      <c r="G658" s="3"/>
      <c r="H658" s="3"/>
      <c r="I658" s="3"/>
      <c r="J658" s="3"/>
    </row>
    <row r="659" ht="15.75" customHeight="1">
      <c r="A659" s="3"/>
      <c r="B659" s="3"/>
      <c r="C659" s="3"/>
      <c r="D659" s="3"/>
      <c r="E659" s="3"/>
      <c r="F659" s="3"/>
      <c r="G659" s="3"/>
      <c r="H659" s="3"/>
      <c r="I659" s="3"/>
      <c r="J659" s="3"/>
    </row>
    <row r="660" ht="15.75" customHeight="1">
      <c r="A660" s="3"/>
      <c r="B660" s="3"/>
      <c r="C660" s="3"/>
      <c r="D660" s="3"/>
      <c r="E660" s="3"/>
      <c r="F660" s="3"/>
      <c r="G660" s="3"/>
      <c r="H660" s="3"/>
      <c r="I660" s="3"/>
      <c r="J660" s="3"/>
    </row>
    <row r="661" ht="15.75" customHeight="1">
      <c r="A661" s="3"/>
      <c r="B661" s="3"/>
      <c r="C661" s="3"/>
      <c r="D661" s="3"/>
      <c r="E661" s="3"/>
      <c r="F661" s="3"/>
      <c r="G661" s="3"/>
      <c r="H661" s="3"/>
      <c r="I661" s="3"/>
      <c r="J661" s="3"/>
    </row>
    <row r="662" ht="15.75" customHeight="1">
      <c r="A662" s="3"/>
      <c r="B662" s="3"/>
      <c r="C662" s="3"/>
      <c r="D662" s="3"/>
      <c r="E662" s="3"/>
      <c r="F662" s="3"/>
      <c r="G662" s="3"/>
      <c r="H662" s="3"/>
      <c r="I662" s="3"/>
      <c r="J662" s="3"/>
    </row>
    <row r="663" ht="15.75" customHeight="1">
      <c r="A663" s="3"/>
      <c r="B663" s="3"/>
      <c r="C663" s="3"/>
      <c r="D663" s="3"/>
      <c r="E663" s="3"/>
      <c r="F663" s="3"/>
      <c r="G663" s="3"/>
      <c r="H663" s="3"/>
      <c r="I663" s="3"/>
      <c r="J663" s="3"/>
    </row>
    <row r="664" ht="15.75" customHeight="1">
      <c r="A664" s="3"/>
      <c r="B664" s="3"/>
      <c r="C664" s="3"/>
      <c r="D664" s="3"/>
      <c r="E664" s="3"/>
      <c r="F664" s="3"/>
      <c r="G664" s="3"/>
      <c r="H664" s="3"/>
      <c r="I664" s="3"/>
      <c r="J664" s="3"/>
    </row>
    <row r="665" ht="15.75" customHeight="1">
      <c r="A665" s="3"/>
      <c r="B665" s="3"/>
      <c r="C665" s="3"/>
      <c r="D665" s="3"/>
      <c r="E665" s="3"/>
      <c r="F665" s="3"/>
      <c r="G665" s="3"/>
      <c r="H665" s="3"/>
      <c r="I665" s="3"/>
      <c r="J665" s="3"/>
    </row>
    <row r="666" ht="15.75" customHeight="1">
      <c r="A666" s="3"/>
      <c r="B666" s="3"/>
      <c r="C666" s="3"/>
      <c r="D666" s="3"/>
      <c r="E666" s="3"/>
      <c r="F666" s="3"/>
      <c r="G666" s="3"/>
      <c r="H666" s="3"/>
      <c r="I666" s="3"/>
      <c r="J666" s="3"/>
    </row>
    <row r="667" ht="15.75" customHeight="1">
      <c r="A667" s="3"/>
      <c r="B667" s="3"/>
      <c r="C667" s="3"/>
      <c r="D667" s="3"/>
      <c r="E667" s="3"/>
      <c r="F667" s="3"/>
      <c r="G667" s="3"/>
      <c r="H667" s="3"/>
      <c r="I667" s="3"/>
      <c r="J667" s="3"/>
    </row>
    <row r="668" ht="15.75" customHeight="1">
      <c r="A668" s="3"/>
      <c r="B668" s="3"/>
      <c r="C668" s="3"/>
      <c r="D668" s="3"/>
      <c r="E668" s="3"/>
      <c r="F668" s="3"/>
      <c r="G668" s="3"/>
      <c r="H668" s="3"/>
      <c r="I668" s="3"/>
      <c r="J668" s="3"/>
    </row>
    <row r="669" ht="15.75" customHeight="1">
      <c r="A669" s="3"/>
      <c r="B669" s="3"/>
      <c r="C669" s="3"/>
      <c r="D669" s="3"/>
      <c r="E669" s="3"/>
      <c r="F669" s="3"/>
      <c r="G669" s="3"/>
      <c r="H669" s="3"/>
      <c r="I669" s="3"/>
      <c r="J669" s="3"/>
    </row>
    <row r="670" ht="15.75" customHeight="1">
      <c r="A670" s="3"/>
      <c r="B670" s="3"/>
      <c r="C670" s="3"/>
      <c r="D670" s="3"/>
      <c r="E670" s="3"/>
      <c r="F670" s="3"/>
      <c r="G670" s="3"/>
      <c r="H670" s="3"/>
      <c r="I670" s="3"/>
      <c r="J670" s="3"/>
    </row>
    <row r="671" ht="15.75" customHeight="1">
      <c r="A671" s="3"/>
      <c r="B671" s="3"/>
      <c r="C671" s="3"/>
      <c r="D671" s="3"/>
      <c r="E671" s="3"/>
      <c r="F671" s="3"/>
      <c r="G671" s="3"/>
      <c r="H671" s="3"/>
      <c r="I671" s="3"/>
      <c r="J671" s="3"/>
    </row>
    <row r="672" ht="15.75" customHeight="1">
      <c r="A672" s="3"/>
      <c r="B672" s="3"/>
      <c r="C672" s="3"/>
      <c r="D672" s="3"/>
      <c r="E672" s="3"/>
      <c r="F672" s="3"/>
      <c r="G672" s="3"/>
      <c r="H672" s="3"/>
      <c r="I672" s="3"/>
      <c r="J672" s="3"/>
    </row>
    <row r="673" ht="15.75" customHeight="1">
      <c r="A673" s="3"/>
      <c r="B673" s="3"/>
      <c r="C673" s="3"/>
      <c r="D673" s="3"/>
      <c r="E673" s="3"/>
      <c r="F673" s="3"/>
      <c r="G673" s="3"/>
      <c r="H673" s="3"/>
      <c r="I673" s="3"/>
      <c r="J673" s="3"/>
    </row>
    <row r="674" ht="15.75" customHeight="1">
      <c r="A674" s="3"/>
      <c r="B674" s="3"/>
      <c r="C674" s="3"/>
      <c r="D674" s="3"/>
      <c r="E674" s="3"/>
      <c r="F674" s="3"/>
      <c r="G674" s="3"/>
      <c r="H674" s="3"/>
      <c r="I674" s="3"/>
      <c r="J674" s="3"/>
    </row>
    <row r="675" ht="15.75" customHeight="1">
      <c r="A675" s="3"/>
      <c r="B675" s="3"/>
      <c r="C675" s="3"/>
      <c r="D675" s="3"/>
      <c r="E675" s="3"/>
      <c r="F675" s="3"/>
      <c r="G675" s="3"/>
      <c r="H675" s="3"/>
      <c r="I675" s="3"/>
      <c r="J675" s="3"/>
    </row>
    <row r="676" ht="15.75" customHeight="1">
      <c r="A676" s="3"/>
      <c r="B676" s="3"/>
      <c r="C676" s="3"/>
      <c r="D676" s="3"/>
      <c r="E676" s="3"/>
      <c r="F676" s="3"/>
      <c r="G676" s="3"/>
      <c r="H676" s="3"/>
      <c r="I676" s="3"/>
      <c r="J676" s="3"/>
    </row>
    <row r="677" ht="15.75" customHeight="1">
      <c r="A677" s="3"/>
      <c r="B677" s="3"/>
      <c r="C677" s="3"/>
      <c r="D677" s="3"/>
      <c r="E677" s="3"/>
      <c r="F677" s="3"/>
      <c r="G677" s="3"/>
      <c r="H677" s="3"/>
      <c r="I677" s="3"/>
      <c r="J677" s="3"/>
    </row>
    <row r="678" ht="15.75" customHeight="1">
      <c r="A678" s="3"/>
      <c r="B678" s="3"/>
      <c r="C678" s="3"/>
      <c r="D678" s="3"/>
      <c r="E678" s="3"/>
      <c r="F678" s="3"/>
      <c r="G678" s="3"/>
      <c r="H678" s="3"/>
      <c r="I678" s="3"/>
      <c r="J678" s="3"/>
    </row>
    <row r="679" ht="15.75" customHeight="1">
      <c r="A679" s="3"/>
      <c r="B679" s="3"/>
      <c r="C679" s="3"/>
      <c r="D679" s="3"/>
      <c r="E679" s="3"/>
      <c r="F679" s="3"/>
      <c r="G679" s="3"/>
      <c r="H679" s="3"/>
      <c r="I679" s="3"/>
      <c r="J679" s="3"/>
    </row>
    <row r="680" ht="15.75" customHeight="1">
      <c r="A680" s="3"/>
      <c r="B680" s="3"/>
      <c r="C680" s="3"/>
      <c r="D680" s="3"/>
      <c r="E680" s="3"/>
      <c r="F680" s="3"/>
      <c r="G680" s="3"/>
      <c r="H680" s="3"/>
      <c r="I680" s="3"/>
      <c r="J680" s="3"/>
    </row>
    <row r="681" ht="15.75" customHeight="1">
      <c r="A681" s="3"/>
      <c r="B681" s="3"/>
      <c r="C681" s="3"/>
      <c r="D681" s="3"/>
      <c r="E681" s="3"/>
      <c r="F681" s="3"/>
      <c r="G681" s="3"/>
      <c r="H681" s="3"/>
      <c r="I681" s="3"/>
      <c r="J681" s="3"/>
    </row>
    <row r="682" ht="15.75" customHeight="1">
      <c r="A682" s="3"/>
      <c r="B682" s="3"/>
      <c r="C682" s="3"/>
      <c r="D682" s="3"/>
      <c r="E682" s="3"/>
      <c r="F682" s="3"/>
      <c r="G682" s="3"/>
      <c r="H682" s="3"/>
      <c r="I682" s="3"/>
      <c r="J682" s="3"/>
    </row>
    <row r="683" ht="15.75" customHeight="1">
      <c r="A683" s="3"/>
      <c r="B683" s="3"/>
      <c r="C683" s="3"/>
      <c r="D683" s="3"/>
      <c r="E683" s="3"/>
      <c r="F683" s="3"/>
      <c r="G683" s="3"/>
      <c r="H683" s="3"/>
      <c r="I683" s="3"/>
      <c r="J683" s="3"/>
    </row>
    <row r="684" ht="15.75" customHeight="1">
      <c r="A684" s="3"/>
      <c r="B684" s="3"/>
      <c r="C684" s="3"/>
      <c r="D684" s="3"/>
      <c r="E684" s="3"/>
      <c r="F684" s="3"/>
      <c r="G684" s="3"/>
      <c r="H684" s="3"/>
      <c r="I684" s="3"/>
      <c r="J684" s="3"/>
    </row>
    <row r="685" ht="15.75" customHeight="1">
      <c r="A685" s="3"/>
      <c r="B685" s="3"/>
      <c r="C685" s="3"/>
      <c r="D685" s="3"/>
      <c r="E685" s="3"/>
      <c r="F685" s="3"/>
      <c r="G685" s="3"/>
      <c r="H685" s="3"/>
      <c r="I685" s="3"/>
      <c r="J685" s="3"/>
    </row>
    <row r="686" ht="15.75" customHeight="1">
      <c r="A686" s="3"/>
      <c r="B686" s="3"/>
      <c r="C686" s="3"/>
      <c r="D686" s="3"/>
      <c r="E686" s="3"/>
      <c r="F686" s="3"/>
      <c r="G686" s="3"/>
      <c r="H686" s="3"/>
      <c r="I686" s="3"/>
      <c r="J686" s="3"/>
    </row>
    <row r="687" ht="15.75" customHeight="1">
      <c r="A687" s="3"/>
      <c r="B687" s="3"/>
      <c r="C687" s="3"/>
      <c r="D687" s="3"/>
      <c r="E687" s="3"/>
      <c r="F687" s="3"/>
      <c r="G687" s="3"/>
      <c r="H687" s="3"/>
      <c r="I687" s="3"/>
      <c r="J687" s="3"/>
    </row>
    <row r="688" ht="15.75" customHeight="1">
      <c r="A688" s="3"/>
      <c r="B688" s="3"/>
      <c r="C688" s="3"/>
      <c r="D688" s="3"/>
      <c r="E688" s="3"/>
      <c r="F688" s="3"/>
      <c r="G688" s="3"/>
      <c r="H688" s="3"/>
      <c r="I688" s="3"/>
      <c r="J688" s="3"/>
    </row>
    <row r="689" ht="15.75" customHeight="1">
      <c r="A689" s="3"/>
      <c r="B689" s="3"/>
      <c r="C689" s="3"/>
      <c r="D689" s="3"/>
      <c r="E689" s="3"/>
      <c r="F689" s="3"/>
      <c r="G689" s="3"/>
      <c r="H689" s="3"/>
      <c r="I689" s="3"/>
      <c r="J689" s="3"/>
    </row>
    <row r="690" ht="15.75" customHeight="1">
      <c r="A690" s="3"/>
      <c r="B690" s="3"/>
      <c r="C690" s="3"/>
      <c r="D690" s="3"/>
      <c r="E690" s="3"/>
      <c r="F690" s="3"/>
      <c r="G690" s="3"/>
      <c r="H690" s="3"/>
      <c r="I690" s="3"/>
      <c r="J690" s="3"/>
    </row>
    <row r="691" ht="15.75" customHeight="1">
      <c r="A691" s="3"/>
      <c r="B691" s="3"/>
      <c r="C691" s="3"/>
      <c r="D691" s="3"/>
      <c r="E691" s="3"/>
      <c r="F691" s="3"/>
      <c r="G691" s="3"/>
      <c r="H691" s="3"/>
      <c r="I691" s="3"/>
      <c r="J691" s="3"/>
    </row>
    <row r="692" ht="15.75" customHeight="1">
      <c r="A692" s="3"/>
      <c r="B692" s="3"/>
      <c r="C692" s="3"/>
      <c r="D692" s="3"/>
      <c r="E692" s="3"/>
      <c r="F692" s="3"/>
      <c r="G692" s="3"/>
      <c r="H692" s="3"/>
      <c r="I692" s="3"/>
      <c r="J692" s="3"/>
    </row>
    <row r="693" ht="15.75" customHeight="1">
      <c r="A693" s="3"/>
      <c r="B693" s="3"/>
      <c r="C693" s="3"/>
      <c r="D693" s="3"/>
      <c r="E693" s="3"/>
      <c r="F693" s="3"/>
      <c r="G693" s="3"/>
      <c r="H693" s="3"/>
      <c r="I693" s="3"/>
      <c r="J693" s="3"/>
    </row>
    <row r="694" ht="15.75" customHeight="1">
      <c r="A694" s="3"/>
      <c r="B694" s="3"/>
      <c r="C694" s="3"/>
      <c r="D694" s="3"/>
      <c r="E694" s="3"/>
      <c r="F694" s="3"/>
      <c r="G694" s="3"/>
      <c r="H694" s="3"/>
      <c r="I694" s="3"/>
      <c r="J694" s="3"/>
    </row>
    <row r="695" ht="15.75" customHeight="1">
      <c r="A695" s="3"/>
      <c r="B695" s="3"/>
      <c r="C695" s="3"/>
      <c r="D695" s="3"/>
      <c r="E695" s="3"/>
      <c r="F695" s="3"/>
      <c r="G695" s="3"/>
      <c r="H695" s="3"/>
      <c r="I695" s="3"/>
      <c r="J695" s="3"/>
    </row>
    <row r="696" ht="15.75" customHeight="1">
      <c r="A696" s="3"/>
      <c r="B696" s="3"/>
      <c r="C696" s="3"/>
      <c r="D696" s="3"/>
      <c r="E696" s="3"/>
      <c r="F696" s="3"/>
      <c r="G696" s="3"/>
      <c r="H696" s="3"/>
      <c r="I696" s="3"/>
      <c r="J696" s="3"/>
    </row>
    <row r="697" ht="15.75" customHeight="1">
      <c r="A697" s="3"/>
      <c r="B697" s="3"/>
      <c r="C697" s="3"/>
      <c r="D697" s="3"/>
      <c r="E697" s="3"/>
      <c r="F697" s="3"/>
      <c r="G697" s="3"/>
      <c r="H697" s="3"/>
      <c r="I697" s="3"/>
      <c r="J697" s="3"/>
    </row>
    <row r="698" ht="15.75" customHeight="1">
      <c r="A698" s="3"/>
      <c r="B698" s="3"/>
      <c r="C698" s="3"/>
      <c r="D698" s="3"/>
      <c r="E698" s="3"/>
      <c r="F698" s="3"/>
      <c r="G698" s="3"/>
      <c r="H698" s="3"/>
      <c r="I698" s="3"/>
      <c r="J698" s="3"/>
    </row>
    <row r="699" ht="15.75" customHeight="1">
      <c r="A699" s="3"/>
      <c r="B699" s="3"/>
      <c r="C699" s="3"/>
      <c r="D699" s="3"/>
      <c r="E699" s="3"/>
      <c r="F699" s="3"/>
      <c r="G699" s="3"/>
      <c r="H699" s="3"/>
      <c r="I699" s="3"/>
      <c r="J699" s="3"/>
    </row>
    <row r="700" ht="15.75" customHeight="1">
      <c r="A700" s="3"/>
      <c r="B700" s="3"/>
      <c r="C700" s="3"/>
      <c r="D700" s="3"/>
      <c r="E700" s="3"/>
      <c r="F700" s="3"/>
      <c r="G700" s="3"/>
      <c r="H700" s="3"/>
      <c r="I700" s="3"/>
      <c r="J700" s="3"/>
    </row>
    <row r="701" ht="15.75" customHeight="1">
      <c r="A701" s="3"/>
      <c r="B701" s="3"/>
      <c r="C701" s="3"/>
      <c r="D701" s="3"/>
      <c r="E701" s="3"/>
      <c r="F701" s="3"/>
      <c r="G701" s="3"/>
      <c r="H701" s="3"/>
      <c r="I701" s="3"/>
      <c r="J701" s="3"/>
    </row>
    <row r="702" ht="15.75" customHeight="1">
      <c r="A702" s="3"/>
      <c r="B702" s="3"/>
      <c r="C702" s="3"/>
      <c r="D702" s="3"/>
      <c r="E702" s="3"/>
      <c r="F702" s="3"/>
      <c r="G702" s="3"/>
      <c r="H702" s="3"/>
      <c r="I702" s="3"/>
      <c r="J702" s="3"/>
    </row>
    <row r="703" ht="15.75" customHeight="1">
      <c r="A703" s="3"/>
      <c r="B703" s="3"/>
      <c r="C703" s="3"/>
      <c r="D703" s="3"/>
      <c r="E703" s="3"/>
      <c r="F703" s="3"/>
      <c r="G703" s="3"/>
      <c r="H703" s="3"/>
      <c r="I703" s="3"/>
      <c r="J703" s="3"/>
    </row>
    <row r="704" ht="15.75" customHeight="1">
      <c r="A704" s="3"/>
      <c r="B704" s="3"/>
      <c r="C704" s="3"/>
      <c r="D704" s="3"/>
      <c r="E704" s="3"/>
      <c r="F704" s="3"/>
      <c r="G704" s="3"/>
      <c r="H704" s="3"/>
      <c r="I704" s="3"/>
      <c r="J704" s="3"/>
    </row>
    <row r="705" ht="15.75" customHeight="1">
      <c r="A705" s="3"/>
      <c r="B705" s="3"/>
      <c r="C705" s="3"/>
      <c r="D705" s="3"/>
      <c r="E705" s="3"/>
      <c r="F705" s="3"/>
      <c r="G705" s="3"/>
      <c r="H705" s="3"/>
      <c r="I705" s="3"/>
      <c r="J705" s="3"/>
    </row>
    <row r="706" ht="15.75" customHeight="1">
      <c r="A706" s="3"/>
      <c r="B706" s="3"/>
      <c r="C706" s="3"/>
      <c r="D706" s="3"/>
      <c r="E706" s="3"/>
      <c r="F706" s="3"/>
      <c r="G706" s="3"/>
      <c r="H706" s="3"/>
      <c r="I706" s="3"/>
      <c r="J706" s="3"/>
    </row>
    <row r="707" ht="15.75" customHeight="1">
      <c r="A707" s="3"/>
      <c r="B707" s="3"/>
      <c r="C707" s="3"/>
      <c r="D707" s="3"/>
      <c r="E707" s="3"/>
      <c r="F707" s="3"/>
      <c r="G707" s="3"/>
      <c r="H707" s="3"/>
      <c r="I707" s="3"/>
      <c r="J707" s="3"/>
    </row>
    <row r="708" ht="15.75" customHeight="1">
      <c r="A708" s="3"/>
      <c r="B708" s="3"/>
      <c r="C708" s="3"/>
      <c r="D708" s="3"/>
      <c r="E708" s="3"/>
      <c r="F708" s="3"/>
      <c r="G708" s="3"/>
      <c r="H708" s="3"/>
      <c r="I708" s="3"/>
      <c r="J708" s="3"/>
    </row>
    <row r="709" ht="15.75" customHeight="1">
      <c r="A709" s="3"/>
      <c r="B709" s="3"/>
      <c r="C709" s="3"/>
      <c r="D709" s="3"/>
      <c r="E709" s="3"/>
      <c r="F709" s="3"/>
      <c r="G709" s="3"/>
      <c r="H709" s="3"/>
      <c r="I709" s="3"/>
      <c r="J709" s="3"/>
    </row>
    <row r="710" ht="15.75" customHeight="1">
      <c r="A710" s="3"/>
      <c r="B710" s="3"/>
      <c r="C710" s="3"/>
      <c r="D710" s="3"/>
      <c r="E710" s="3"/>
      <c r="F710" s="3"/>
      <c r="G710" s="3"/>
      <c r="H710" s="3"/>
      <c r="I710" s="3"/>
      <c r="J710" s="3"/>
    </row>
    <row r="711" ht="15.75" customHeight="1">
      <c r="A711" s="3"/>
      <c r="B711" s="3"/>
      <c r="C711" s="3"/>
      <c r="D711" s="3"/>
      <c r="E711" s="3"/>
      <c r="F711" s="3"/>
      <c r="G711" s="3"/>
      <c r="H711" s="3"/>
      <c r="I711" s="3"/>
      <c r="J711" s="3"/>
    </row>
    <row r="712" ht="15.75" customHeight="1">
      <c r="A712" s="3"/>
      <c r="B712" s="3"/>
      <c r="C712" s="3"/>
      <c r="D712" s="3"/>
      <c r="E712" s="3"/>
      <c r="F712" s="3"/>
      <c r="G712" s="3"/>
      <c r="H712" s="3"/>
      <c r="I712" s="3"/>
      <c r="J712" s="3"/>
    </row>
    <row r="713" ht="15.75" customHeight="1">
      <c r="A713" s="3"/>
      <c r="B713" s="3"/>
      <c r="C713" s="3"/>
      <c r="D713" s="3"/>
      <c r="E713" s="3"/>
      <c r="F713" s="3"/>
      <c r="G713" s="3"/>
      <c r="H713" s="3"/>
      <c r="I713" s="3"/>
      <c r="J713" s="3"/>
    </row>
    <row r="714" ht="15.75" customHeight="1">
      <c r="A714" s="3"/>
      <c r="B714" s="3"/>
      <c r="C714" s="3"/>
      <c r="D714" s="3"/>
      <c r="E714" s="3"/>
      <c r="F714" s="3"/>
      <c r="G714" s="3"/>
      <c r="H714" s="3"/>
      <c r="I714" s="3"/>
      <c r="J714" s="3"/>
    </row>
    <row r="715" ht="15.75" customHeight="1">
      <c r="A715" s="3"/>
      <c r="B715" s="3"/>
      <c r="C715" s="3"/>
      <c r="D715" s="3"/>
      <c r="E715" s="3"/>
      <c r="F715" s="3"/>
      <c r="G715" s="3"/>
      <c r="H715" s="3"/>
      <c r="I715" s="3"/>
      <c r="J715" s="3"/>
    </row>
    <row r="716" ht="15.75" customHeight="1">
      <c r="A716" s="3"/>
      <c r="B716" s="3"/>
      <c r="C716" s="3"/>
      <c r="D716" s="3"/>
      <c r="E716" s="3"/>
      <c r="F716" s="3"/>
      <c r="G716" s="3"/>
      <c r="H716" s="3"/>
      <c r="I716" s="3"/>
      <c r="J716" s="3"/>
    </row>
    <row r="717" ht="15.75" customHeight="1">
      <c r="A717" s="3"/>
      <c r="B717" s="3"/>
      <c r="C717" s="3"/>
      <c r="D717" s="3"/>
      <c r="E717" s="3"/>
      <c r="F717" s="3"/>
      <c r="G717" s="3"/>
      <c r="H717" s="3"/>
      <c r="I717" s="3"/>
      <c r="J717" s="3"/>
    </row>
    <row r="718" ht="15.75" customHeight="1">
      <c r="A718" s="3"/>
      <c r="B718" s="3"/>
      <c r="C718" s="3"/>
      <c r="D718" s="3"/>
      <c r="E718" s="3"/>
      <c r="F718" s="3"/>
      <c r="G718" s="3"/>
      <c r="H718" s="3"/>
      <c r="I718" s="3"/>
      <c r="J718" s="3"/>
    </row>
    <row r="719" ht="15.75" customHeight="1">
      <c r="A719" s="3"/>
      <c r="B719" s="3"/>
      <c r="C719" s="3"/>
      <c r="D719" s="3"/>
      <c r="E719" s="3"/>
      <c r="F719" s="3"/>
      <c r="G719" s="3"/>
      <c r="H719" s="3"/>
      <c r="I719" s="3"/>
      <c r="J719" s="3"/>
    </row>
    <row r="720" ht="15.75" customHeight="1">
      <c r="A720" s="3"/>
      <c r="B720" s="3"/>
      <c r="C720" s="3"/>
      <c r="D720" s="3"/>
      <c r="E720" s="3"/>
      <c r="F720" s="3"/>
      <c r="G720" s="3"/>
      <c r="H720" s="3"/>
      <c r="I720" s="3"/>
      <c r="J720" s="3"/>
    </row>
    <row r="721" ht="15.75" customHeight="1">
      <c r="A721" s="3"/>
      <c r="B721" s="3"/>
      <c r="C721" s="3"/>
      <c r="D721" s="3"/>
      <c r="E721" s="3"/>
      <c r="F721" s="3"/>
      <c r="G721" s="3"/>
      <c r="H721" s="3"/>
      <c r="I721" s="3"/>
      <c r="J721" s="3"/>
    </row>
    <row r="722" ht="15.75" customHeight="1">
      <c r="A722" s="3"/>
      <c r="B722" s="3"/>
      <c r="C722" s="3"/>
      <c r="D722" s="3"/>
      <c r="E722" s="3"/>
      <c r="F722" s="3"/>
      <c r="G722" s="3"/>
      <c r="H722" s="3"/>
      <c r="I722" s="3"/>
      <c r="J722" s="3"/>
    </row>
    <row r="723" ht="15.75" customHeight="1">
      <c r="A723" s="3"/>
      <c r="B723" s="3"/>
      <c r="C723" s="3"/>
      <c r="D723" s="3"/>
      <c r="E723" s="3"/>
      <c r="F723" s="3"/>
      <c r="G723" s="3"/>
      <c r="H723" s="3"/>
      <c r="I723" s="3"/>
      <c r="J723" s="3"/>
    </row>
    <row r="724" ht="15.75" customHeight="1">
      <c r="A724" s="3"/>
      <c r="B724" s="3"/>
      <c r="C724" s="3"/>
      <c r="D724" s="3"/>
      <c r="E724" s="3"/>
      <c r="F724" s="3"/>
      <c r="G724" s="3"/>
      <c r="H724" s="3"/>
      <c r="I724" s="3"/>
      <c r="J724" s="3"/>
    </row>
    <row r="725" ht="15.75" customHeight="1">
      <c r="A725" s="3"/>
      <c r="B725" s="3"/>
      <c r="C725" s="3"/>
      <c r="D725" s="3"/>
      <c r="E725" s="3"/>
      <c r="F725" s="3"/>
      <c r="G725" s="3"/>
      <c r="H725" s="3"/>
      <c r="I725" s="3"/>
      <c r="J725" s="3"/>
    </row>
    <row r="726" ht="15.75" customHeight="1">
      <c r="A726" s="3"/>
      <c r="B726" s="3"/>
      <c r="C726" s="3"/>
      <c r="D726" s="3"/>
      <c r="E726" s="3"/>
      <c r="F726" s="3"/>
      <c r="G726" s="3"/>
      <c r="H726" s="3"/>
      <c r="I726" s="3"/>
      <c r="J726" s="3"/>
    </row>
    <row r="727" ht="15.75" customHeight="1">
      <c r="A727" s="3"/>
      <c r="B727" s="3"/>
      <c r="C727" s="3"/>
      <c r="D727" s="3"/>
      <c r="E727" s="3"/>
      <c r="F727" s="3"/>
      <c r="G727" s="3"/>
      <c r="H727" s="3"/>
      <c r="I727" s="3"/>
      <c r="J727" s="3"/>
    </row>
    <row r="728" ht="15.75" customHeight="1">
      <c r="A728" s="3"/>
      <c r="B728" s="3"/>
      <c r="C728" s="3"/>
      <c r="D728" s="3"/>
      <c r="E728" s="3"/>
      <c r="F728" s="3"/>
      <c r="G728" s="3"/>
      <c r="H728" s="3"/>
      <c r="I728" s="3"/>
      <c r="J728" s="3"/>
    </row>
    <row r="729" ht="15.75" customHeight="1">
      <c r="A729" s="3"/>
      <c r="B729" s="3"/>
      <c r="C729" s="3"/>
      <c r="D729" s="3"/>
      <c r="E729" s="3"/>
      <c r="F729" s="3"/>
      <c r="G729" s="3"/>
      <c r="H729" s="3"/>
      <c r="I729" s="3"/>
      <c r="J729" s="3"/>
    </row>
    <row r="730" ht="15.75" customHeight="1">
      <c r="A730" s="3"/>
      <c r="B730" s="3"/>
      <c r="C730" s="3"/>
      <c r="D730" s="3"/>
      <c r="E730" s="3"/>
      <c r="F730" s="3"/>
      <c r="G730" s="3"/>
      <c r="H730" s="3"/>
      <c r="I730" s="3"/>
      <c r="J730" s="3"/>
    </row>
    <row r="731" ht="15.75" customHeight="1">
      <c r="A731" s="3"/>
      <c r="B731" s="3"/>
      <c r="C731" s="3"/>
      <c r="D731" s="3"/>
      <c r="E731" s="3"/>
      <c r="F731" s="3"/>
      <c r="G731" s="3"/>
      <c r="H731" s="3"/>
      <c r="I731" s="3"/>
      <c r="J731" s="3"/>
    </row>
    <row r="732" ht="15.75" customHeight="1">
      <c r="A732" s="3"/>
      <c r="B732" s="3"/>
      <c r="C732" s="3"/>
      <c r="D732" s="3"/>
      <c r="E732" s="3"/>
      <c r="F732" s="3"/>
      <c r="G732" s="3"/>
      <c r="H732" s="3"/>
      <c r="I732" s="3"/>
      <c r="J732" s="3"/>
    </row>
    <row r="733" ht="15.75" customHeight="1">
      <c r="A733" s="3"/>
      <c r="B733" s="3"/>
      <c r="C733" s="3"/>
      <c r="D733" s="3"/>
      <c r="E733" s="3"/>
      <c r="F733" s="3"/>
      <c r="G733" s="3"/>
      <c r="H733" s="3"/>
      <c r="I733" s="3"/>
      <c r="J733" s="3"/>
    </row>
    <row r="734" ht="15.75" customHeight="1">
      <c r="A734" s="3"/>
      <c r="B734" s="3"/>
      <c r="C734" s="3"/>
      <c r="D734" s="3"/>
      <c r="E734" s="3"/>
      <c r="F734" s="3"/>
      <c r="G734" s="3"/>
      <c r="H734" s="3"/>
      <c r="I734" s="3"/>
      <c r="J734" s="3"/>
    </row>
    <row r="735" ht="15.75" customHeight="1">
      <c r="A735" s="3"/>
      <c r="B735" s="3"/>
      <c r="C735" s="3"/>
      <c r="D735" s="3"/>
      <c r="E735" s="3"/>
      <c r="F735" s="3"/>
      <c r="G735" s="3"/>
      <c r="H735" s="3"/>
      <c r="I735" s="3"/>
      <c r="J735" s="3"/>
    </row>
    <row r="736" ht="15.75" customHeight="1">
      <c r="A736" s="3"/>
      <c r="B736" s="3"/>
      <c r="C736" s="3"/>
      <c r="D736" s="3"/>
      <c r="E736" s="3"/>
      <c r="F736" s="3"/>
      <c r="G736" s="3"/>
      <c r="H736" s="3"/>
      <c r="I736" s="3"/>
      <c r="J736" s="3"/>
    </row>
    <row r="737" ht="15.75" customHeight="1">
      <c r="A737" s="3"/>
      <c r="B737" s="3"/>
      <c r="C737" s="3"/>
      <c r="D737" s="3"/>
      <c r="E737" s="3"/>
      <c r="F737" s="3"/>
      <c r="G737" s="3"/>
      <c r="H737" s="3"/>
      <c r="I737" s="3"/>
      <c r="J737" s="3"/>
    </row>
    <row r="738" ht="15.75" customHeight="1">
      <c r="A738" s="3"/>
      <c r="B738" s="3"/>
      <c r="C738" s="3"/>
      <c r="D738" s="3"/>
      <c r="E738" s="3"/>
      <c r="F738" s="3"/>
      <c r="G738" s="3"/>
      <c r="H738" s="3"/>
      <c r="I738" s="3"/>
      <c r="J738" s="3"/>
    </row>
    <row r="739" ht="15.75" customHeight="1">
      <c r="A739" s="3"/>
      <c r="B739" s="3"/>
      <c r="C739" s="3"/>
      <c r="D739" s="3"/>
      <c r="E739" s="3"/>
      <c r="F739" s="3"/>
      <c r="G739" s="3"/>
      <c r="H739" s="3"/>
      <c r="I739" s="3"/>
      <c r="J739" s="3"/>
    </row>
    <row r="740" ht="15.75" customHeight="1">
      <c r="A740" s="3"/>
      <c r="B740" s="3"/>
      <c r="C740" s="3"/>
      <c r="D740" s="3"/>
      <c r="E740" s="3"/>
      <c r="F740" s="3"/>
      <c r="G740" s="3"/>
      <c r="H740" s="3"/>
      <c r="I740" s="3"/>
      <c r="J740" s="3"/>
    </row>
    <row r="741" ht="15.75" customHeight="1">
      <c r="A741" s="3"/>
      <c r="B741" s="3"/>
      <c r="C741" s="3"/>
      <c r="D741" s="3"/>
      <c r="E741" s="3"/>
      <c r="F741" s="3"/>
      <c r="G741" s="3"/>
      <c r="H741" s="3"/>
      <c r="I741" s="3"/>
      <c r="J741" s="3"/>
    </row>
    <row r="742" ht="15.75" customHeight="1">
      <c r="A742" s="3"/>
      <c r="B742" s="3"/>
      <c r="C742" s="3"/>
      <c r="D742" s="3"/>
      <c r="E742" s="3"/>
      <c r="F742" s="3"/>
      <c r="G742" s="3"/>
      <c r="H742" s="3"/>
      <c r="I742" s="3"/>
      <c r="J742" s="3"/>
    </row>
    <row r="743" ht="15.75" customHeight="1">
      <c r="A743" s="3"/>
      <c r="B743" s="3"/>
      <c r="C743" s="3"/>
      <c r="D743" s="3"/>
      <c r="E743" s="3"/>
      <c r="F743" s="3"/>
      <c r="G743" s="3"/>
      <c r="H743" s="3"/>
      <c r="I743" s="3"/>
      <c r="J743" s="3"/>
    </row>
    <row r="744" ht="15.75" customHeight="1">
      <c r="A744" s="3"/>
      <c r="B744" s="3"/>
      <c r="C744" s="3"/>
      <c r="D744" s="3"/>
      <c r="E744" s="3"/>
      <c r="F744" s="3"/>
      <c r="G744" s="3"/>
      <c r="H744" s="3"/>
      <c r="I744" s="3"/>
      <c r="J744" s="3"/>
    </row>
    <row r="745" ht="15.75" customHeight="1">
      <c r="A745" s="3"/>
      <c r="B745" s="3"/>
      <c r="C745" s="3"/>
      <c r="D745" s="3"/>
      <c r="E745" s="3"/>
      <c r="F745" s="3"/>
      <c r="G745" s="3"/>
      <c r="H745" s="3"/>
      <c r="I745" s="3"/>
      <c r="J745" s="3"/>
    </row>
    <row r="746" ht="15.75" customHeight="1">
      <c r="A746" s="3"/>
      <c r="B746" s="3"/>
      <c r="C746" s="3"/>
      <c r="D746" s="3"/>
      <c r="E746" s="3"/>
      <c r="F746" s="3"/>
      <c r="G746" s="3"/>
      <c r="H746" s="3"/>
      <c r="I746" s="3"/>
      <c r="J746" s="3"/>
    </row>
    <row r="747" ht="15.75" customHeight="1">
      <c r="A747" s="3"/>
      <c r="B747" s="3"/>
      <c r="C747" s="3"/>
      <c r="D747" s="3"/>
      <c r="E747" s="3"/>
      <c r="F747" s="3"/>
      <c r="G747" s="3"/>
      <c r="H747" s="3"/>
      <c r="I747" s="3"/>
      <c r="J747" s="3"/>
    </row>
    <row r="748" ht="15.75" customHeight="1">
      <c r="A748" s="3"/>
      <c r="B748" s="3"/>
      <c r="C748" s="3"/>
      <c r="D748" s="3"/>
      <c r="E748" s="3"/>
      <c r="F748" s="3"/>
      <c r="G748" s="3"/>
      <c r="H748" s="3"/>
      <c r="I748" s="3"/>
      <c r="J748" s="3"/>
    </row>
    <row r="749" ht="15.75" customHeight="1">
      <c r="A749" s="3"/>
      <c r="B749" s="3"/>
      <c r="C749" s="3"/>
      <c r="D749" s="3"/>
      <c r="E749" s="3"/>
      <c r="F749" s="3"/>
      <c r="G749" s="3"/>
      <c r="H749" s="3"/>
      <c r="I749" s="3"/>
      <c r="J749" s="3"/>
    </row>
    <row r="750" ht="15.75" customHeight="1">
      <c r="A750" s="3"/>
      <c r="B750" s="3"/>
      <c r="C750" s="3"/>
      <c r="D750" s="3"/>
      <c r="E750" s="3"/>
      <c r="F750" s="3"/>
      <c r="G750" s="3"/>
      <c r="H750" s="3"/>
      <c r="I750" s="3"/>
      <c r="J750" s="3"/>
    </row>
    <row r="751" ht="15.75" customHeight="1">
      <c r="A751" s="3"/>
      <c r="B751" s="3"/>
      <c r="C751" s="3"/>
      <c r="D751" s="3"/>
      <c r="E751" s="3"/>
      <c r="F751" s="3"/>
      <c r="G751" s="3"/>
      <c r="H751" s="3"/>
      <c r="I751" s="3"/>
      <c r="J751" s="3"/>
    </row>
    <row r="752" ht="15.75" customHeight="1">
      <c r="A752" s="3"/>
      <c r="B752" s="3"/>
      <c r="C752" s="3"/>
      <c r="D752" s="3"/>
      <c r="E752" s="3"/>
      <c r="F752" s="3"/>
      <c r="G752" s="3"/>
      <c r="H752" s="3"/>
      <c r="I752" s="3"/>
      <c r="J752" s="3"/>
    </row>
    <row r="753" ht="15.75" customHeight="1">
      <c r="A753" s="3"/>
      <c r="B753" s="3"/>
      <c r="C753" s="3"/>
      <c r="D753" s="3"/>
      <c r="E753" s="3"/>
      <c r="F753" s="3"/>
      <c r="G753" s="3"/>
      <c r="H753" s="3"/>
      <c r="I753" s="3"/>
      <c r="J753" s="3"/>
    </row>
    <row r="754" ht="15.75" customHeight="1">
      <c r="A754" s="3"/>
      <c r="B754" s="3"/>
      <c r="C754" s="3"/>
      <c r="D754" s="3"/>
      <c r="E754" s="3"/>
      <c r="F754" s="3"/>
      <c r="G754" s="3"/>
      <c r="H754" s="3"/>
      <c r="I754" s="3"/>
      <c r="J754" s="3"/>
    </row>
    <row r="755" ht="15.75" customHeight="1">
      <c r="A755" s="3"/>
      <c r="B755" s="3"/>
      <c r="C755" s="3"/>
      <c r="D755" s="3"/>
      <c r="E755" s="3"/>
      <c r="F755" s="3"/>
      <c r="G755" s="3"/>
      <c r="H755" s="3"/>
      <c r="I755" s="3"/>
      <c r="J755" s="3"/>
    </row>
    <row r="756" ht="15.75" customHeight="1">
      <c r="A756" s="3"/>
      <c r="B756" s="3"/>
      <c r="C756" s="3"/>
      <c r="D756" s="3"/>
      <c r="E756" s="3"/>
      <c r="F756" s="3"/>
      <c r="G756" s="3"/>
      <c r="H756" s="3"/>
      <c r="I756" s="3"/>
      <c r="J756" s="3"/>
    </row>
    <row r="757" ht="15.75" customHeight="1">
      <c r="A757" s="3"/>
      <c r="B757" s="3"/>
      <c r="C757" s="3"/>
      <c r="D757" s="3"/>
      <c r="E757" s="3"/>
      <c r="F757" s="3"/>
      <c r="G757" s="3"/>
      <c r="H757" s="3"/>
      <c r="I757" s="3"/>
      <c r="J757" s="3"/>
    </row>
    <row r="758" ht="15.75" customHeight="1">
      <c r="A758" s="3"/>
      <c r="B758" s="3"/>
      <c r="C758" s="3"/>
      <c r="D758" s="3"/>
      <c r="E758" s="3"/>
      <c r="F758" s="3"/>
      <c r="G758" s="3"/>
      <c r="H758" s="3"/>
      <c r="I758" s="3"/>
      <c r="J758" s="3"/>
    </row>
    <row r="759" ht="15.75" customHeight="1">
      <c r="A759" s="3"/>
      <c r="B759" s="3"/>
      <c r="C759" s="3"/>
      <c r="D759" s="3"/>
      <c r="E759" s="3"/>
      <c r="F759" s="3"/>
      <c r="G759" s="3"/>
      <c r="H759" s="3"/>
      <c r="I759" s="3"/>
      <c r="J759" s="3"/>
    </row>
    <row r="760" ht="15.75" customHeight="1">
      <c r="A760" s="3"/>
      <c r="B760" s="3"/>
      <c r="C760" s="3"/>
      <c r="D760" s="3"/>
      <c r="E760" s="3"/>
      <c r="F760" s="3"/>
      <c r="G760" s="3"/>
      <c r="H760" s="3"/>
      <c r="I760" s="3"/>
      <c r="J760" s="3"/>
    </row>
    <row r="761" ht="15.75" customHeight="1">
      <c r="A761" s="3"/>
      <c r="B761" s="3"/>
      <c r="C761" s="3"/>
      <c r="D761" s="3"/>
      <c r="E761" s="3"/>
      <c r="F761" s="3"/>
      <c r="G761" s="3"/>
      <c r="H761" s="3"/>
      <c r="I761" s="3"/>
      <c r="J761" s="3"/>
    </row>
    <row r="762" ht="15.75" customHeight="1">
      <c r="A762" s="3"/>
      <c r="B762" s="3"/>
      <c r="C762" s="3"/>
      <c r="D762" s="3"/>
      <c r="E762" s="3"/>
      <c r="F762" s="3"/>
      <c r="G762" s="3"/>
      <c r="H762" s="3"/>
      <c r="I762" s="3"/>
      <c r="J762" s="3"/>
    </row>
    <row r="763" ht="15.75" customHeight="1">
      <c r="A763" s="3"/>
      <c r="B763" s="3"/>
      <c r="C763" s="3"/>
      <c r="D763" s="3"/>
      <c r="E763" s="3"/>
      <c r="F763" s="3"/>
      <c r="G763" s="3"/>
      <c r="H763" s="3"/>
      <c r="I763" s="3"/>
      <c r="J763" s="3"/>
    </row>
    <row r="764" ht="15.75" customHeight="1">
      <c r="A764" s="3"/>
      <c r="B764" s="3"/>
      <c r="C764" s="3"/>
      <c r="D764" s="3"/>
      <c r="E764" s="3"/>
      <c r="F764" s="3"/>
      <c r="G764" s="3"/>
      <c r="H764" s="3"/>
      <c r="I764" s="3"/>
      <c r="J764" s="3"/>
    </row>
    <row r="765" ht="15.75" customHeight="1">
      <c r="A765" s="3"/>
      <c r="B765" s="3"/>
      <c r="C765" s="3"/>
      <c r="D765" s="3"/>
      <c r="E765" s="3"/>
      <c r="F765" s="3"/>
      <c r="G765" s="3"/>
      <c r="H765" s="3"/>
      <c r="I765" s="3"/>
      <c r="J765" s="3"/>
    </row>
    <row r="766" ht="15.75" customHeight="1">
      <c r="A766" s="3"/>
      <c r="B766" s="3"/>
      <c r="C766" s="3"/>
      <c r="D766" s="3"/>
      <c r="E766" s="3"/>
      <c r="F766" s="3"/>
      <c r="G766" s="3"/>
      <c r="H766" s="3"/>
      <c r="I766" s="3"/>
      <c r="J766" s="3"/>
    </row>
    <row r="767" ht="15.75" customHeight="1">
      <c r="A767" s="3"/>
      <c r="B767" s="3"/>
      <c r="C767" s="3"/>
      <c r="D767" s="3"/>
      <c r="E767" s="3"/>
      <c r="F767" s="3"/>
      <c r="G767" s="3"/>
      <c r="H767" s="3"/>
      <c r="I767" s="3"/>
      <c r="J767" s="3"/>
    </row>
    <row r="768" ht="15.75" customHeight="1">
      <c r="A768" s="3"/>
      <c r="B768" s="3"/>
      <c r="C768" s="3"/>
      <c r="D768" s="3"/>
      <c r="E768" s="3"/>
      <c r="F768" s="3"/>
      <c r="G768" s="3"/>
      <c r="H768" s="3"/>
      <c r="I768" s="3"/>
      <c r="J768" s="3"/>
    </row>
    <row r="769" ht="15.75" customHeight="1">
      <c r="A769" s="3"/>
      <c r="B769" s="3"/>
      <c r="C769" s="3"/>
      <c r="D769" s="3"/>
      <c r="E769" s="3"/>
      <c r="F769" s="3"/>
      <c r="G769" s="3"/>
      <c r="H769" s="3"/>
      <c r="I769" s="3"/>
      <c r="J769" s="3"/>
    </row>
    <row r="770" ht="15.75" customHeight="1">
      <c r="A770" s="3"/>
      <c r="B770" s="3"/>
      <c r="C770" s="3"/>
      <c r="D770" s="3"/>
      <c r="E770" s="3"/>
      <c r="F770" s="3"/>
      <c r="G770" s="3"/>
      <c r="H770" s="3"/>
      <c r="I770" s="3"/>
      <c r="J770" s="3"/>
    </row>
    <row r="771" ht="15.75" customHeight="1">
      <c r="A771" s="3"/>
      <c r="B771" s="3"/>
      <c r="C771" s="3"/>
      <c r="D771" s="3"/>
      <c r="E771" s="3"/>
      <c r="F771" s="3"/>
      <c r="G771" s="3"/>
      <c r="H771" s="3"/>
      <c r="I771" s="3"/>
      <c r="J771" s="3"/>
    </row>
    <row r="772" ht="15.75" customHeight="1">
      <c r="A772" s="3"/>
      <c r="B772" s="3"/>
      <c r="C772" s="3"/>
      <c r="D772" s="3"/>
      <c r="E772" s="3"/>
      <c r="F772" s="3"/>
      <c r="G772" s="3"/>
      <c r="H772" s="3"/>
      <c r="I772" s="3"/>
      <c r="J772" s="3"/>
    </row>
    <row r="773" ht="15.75" customHeight="1">
      <c r="A773" s="3"/>
      <c r="B773" s="3"/>
      <c r="C773" s="3"/>
      <c r="D773" s="3"/>
      <c r="E773" s="3"/>
      <c r="F773" s="3"/>
      <c r="G773" s="3"/>
      <c r="H773" s="3"/>
      <c r="I773" s="3"/>
      <c r="J773" s="3"/>
    </row>
    <row r="774" ht="15.75" customHeight="1">
      <c r="A774" s="3"/>
      <c r="B774" s="3"/>
      <c r="C774" s="3"/>
      <c r="D774" s="3"/>
      <c r="E774" s="3"/>
      <c r="F774" s="3"/>
      <c r="G774" s="3"/>
      <c r="H774" s="3"/>
      <c r="I774" s="3"/>
      <c r="J774" s="3"/>
    </row>
    <row r="775" ht="15.75" customHeight="1">
      <c r="A775" s="3"/>
      <c r="B775" s="3"/>
      <c r="C775" s="3"/>
      <c r="D775" s="3"/>
      <c r="E775" s="3"/>
      <c r="F775" s="3"/>
      <c r="G775" s="3"/>
      <c r="H775" s="3"/>
      <c r="I775" s="3"/>
      <c r="J775" s="3"/>
    </row>
    <row r="776" ht="15.75" customHeight="1">
      <c r="A776" s="3"/>
      <c r="B776" s="3"/>
      <c r="C776" s="3"/>
      <c r="D776" s="3"/>
      <c r="E776" s="3"/>
      <c r="F776" s="3"/>
      <c r="G776" s="3"/>
      <c r="H776" s="3"/>
      <c r="I776" s="3"/>
      <c r="J776" s="3"/>
    </row>
    <row r="777" ht="15.75" customHeight="1">
      <c r="A777" s="3"/>
      <c r="B777" s="3"/>
      <c r="C777" s="3"/>
      <c r="D777" s="3"/>
      <c r="E777" s="3"/>
      <c r="F777" s="3"/>
      <c r="G777" s="3"/>
      <c r="H777" s="3"/>
      <c r="I777" s="3"/>
      <c r="J777" s="3"/>
    </row>
    <row r="778" ht="15.75" customHeight="1">
      <c r="A778" s="3"/>
      <c r="B778" s="3"/>
      <c r="C778" s="3"/>
      <c r="D778" s="3"/>
      <c r="E778" s="3"/>
      <c r="F778" s="3"/>
      <c r="G778" s="3"/>
      <c r="H778" s="3"/>
      <c r="I778" s="3"/>
      <c r="J778" s="3"/>
    </row>
    <row r="779" ht="15.75" customHeight="1">
      <c r="A779" s="3"/>
      <c r="B779" s="3"/>
      <c r="C779" s="3"/>
      <c r="D779" s="3"/>
      <c r="E779" s="3"/>
      <c r="F779" s="3"/>
      <c r="G779" s="3"/>
      <c r="H779" s="3"/>
      <c r="I779" s="3"/>
      <c r="J779" s="3"/>
    </row>
    <row r="780" ht="15.75" customHeight="1">
      <c r="A780" s="3"/>
      <c r="B780" s="3"/>
      <c r="C780" s="3"/>
      <c r="D780" s="3"/>
      <c r="E780" s="3"/>
      <c r="F780" s="3"/>
      <c r="G780" s="3"/>
      <c r="H780" s="3"/>
      <c r="I780" s="3"/>
      <c r="J780" s="3"/>
    </row>
    <row r="781" ht="15.75" customHeight="1">
      <c r="A781" s="3"/>
      <c r="B781" s="3"/>
      <c r="C781" s="3"/>
      <c r="D781" s="3"/>
      <c r="E781" s="3"/>
      <c r="F781" s="3"/>
      <c r="G781" s="3"/>
      <c r="H781" s="3"/>
      <c r="I781" s="3"/>
      <c r="J781" s="3"/>
    </row>
    <row r="782" ht="15.75" customHeight="1">
      <c r="A782" s="3"/>
      <c r="B782" s="3"/>
      <c r="C782" s="3"/>
      <c r="D782" s="3"/>
      <c r="E782" s="3"/>
      <c r="F782" s="3"/>
      <c r="G782" s="3"/>
      <c r="H782" s="3"/>
      <c r="I782" s="3"/>
      <c r="J782" s="3"/>
    </row>
    <row r="783" ht="15.75" customHeight="1">
      <c r="A783" s="3"/>
      <c r="B783" s="3"/>
      <c r="C783" s="3"/>
      <c r="D783" s="3"/>
      <c r="E783" s="3"/>
      <c r="F783" s="3"/>
      <c r="G783" s="3"/>
      <c r="H783" s="3"/>
      <c r="I783" s="3"/>
      <c r="J783" s="3"/>
    </row>
    <row r="784" ht="15.75" customHeight="1">
      <c r="A784" s="3"/>
      <c r="B784" s="3"/>
      <c r="C784" s="3"/>
      <c r="D784" s="3"/>
      <c r="E784" s="3"/>
      <c r="F784" s="3"/>
      <c r="G784" s="3"/>
      <c r="H784" s="3"/>
      <c r="I784" s="3"/>
      <c r="J784" s="3"/>
    </row>
    <row r="785" ht="15.75" customHeight="1">
      <c r="A785" s="3"/>
      <c r="B785" s="3"/>
      <c r="C785" s="3"/>
      <c r="D785" s="3"/>
      <c r="E785" s="3"/>
      <c r="F785" s="3"/>
      <c r="G785" s="3"/>
      <c r="H785" s="3"/>
      <c r="I785" s="3"/>
      <c r="J785" s="3"/>
    </row>
    <row r="786" ht="15.75" customHeight="1">
      <c r="A786" s="3"/>
      <c r="B786" s="3"/>
      <c r="C786" s="3"/>
      <c r="D786" s="3"/>
      <c r="E786" s="3"/>
      <c r="F786" s="3"/>
      <c r="G786" s="3"/>
      <c r="H786" s="3"/>
      <c r="I786" s="3"/>
      <c r="J786" s="3"/>
    </row>
    <row r="787" ht="15.75" customHeight="1">
      <c r="A787" s="3"/>
      <c r="B787" s="3"/>
      <c r="C787" s="3"/>
      <c r="D787" s="3"/>
      <c r="E787" s="3"/>
      <c r="F787" s="3"/>
      <c r="G787" s="3"/>
      <c r="H787" s="3"/>
      <c r="I787" s="3"/>
      <c r="J787" s="3"/>
    </row>
    <row r="788" ht="15.75" customHeight="1">
      <c r="A788" s="3"/>
      <c r="B788" s="3"/>
      <c r="C788" s="3"/>
      <c r="D788" s="3"/>
      <c r="E788" s="3"/>
      <c r="F788" s="3"/>
      <c r="G788" s="3"/>
      <c r="H788" s="3"/>
      <c r="I788" s="3"/>
      <c r="J788" s="3"/>
    </row>
    <row r="789" ht="15.75" customHeight="1">
      <c r="A789" s="3"/>
      <c r="B789" s="3"/>
      <c r="C789" s="3"/>
      <c r="D789" s="3"/>
      <c r="E789" s="3"/>
      <c r="F789" s="3"/>
      <c r="G789" s="3"/>
      <c r="H789" s="3"/>
      <c r="I789" s="3"/>
      <c r="J789" s="3"/>
    </row>
    <row r="790" ht="15.75" customHeight="1">
      <c r="A790" s="3"/>
      <c r="B790" s="3"/>
      <c r="C790" s="3"/>
      <c r="D790" s="3"/>
      <c r="E790" s="3"/>
      <c r="F790" s="3"/>
      <c r="G790" s="3"/>
      <c r="H790" s="3"/>
      <c r="I790" s="3"/>
      <c r="J790" s="3"/>
    </row>
    <row r="791" ht="15.75" customHeight="1">
      <c r="A791" s="3"/>
      <c r="B791" s="3"/>
      <c r="C791" s="3"/>
      <c r="D791" s="3"/>
      <c r="E791" s="3"/>
      <c r="F791" s="3"/>
      <c r="G791" s="3"/>
      <c r="H791" s="3"/>
      <c r="I791" s="3"/>
      <c r="J791" s="3"/>
    </row>
    <row r="792" ht="15.75" customHeight="1">
      <c r="A792" s="3"/>
      <c r="B792" s="3"/>
      <c r="C792" s="3"/>
      <c r="D792" s="3"/>
      <c r="E792" s="3"/>
      <c r="F792" s="3"/>
      <c r="G792" s="3"/>
      <c r="H792" s="3"/>
      <c r="I792" s="3"/>
      <c r="J792" s="3"/>
    </row>
    <row r="793" ht="15.75" customHeight="1">
      <c r="A793" s="3"/>
      <c r="B793" s="3"/>
      <c r="C793" s="3"/>
      <c r="D793" s="3"/>
      <c r="E793" s="3"/>
      <c r="F793" s="3"/>
      <c r="G793" s="3"/>
      <c r="H793" s="3"/>
      <c r="I793" s="3"/>
      <c r="J793" s="3"/>
    </row>
    <row r="794" ht="15.75" customHeight="1">
      <c r="A794" s="3"/>
      <c r="B794" s="3"/>
      <c r="C794" s="3"/>
      <c r="D794" s="3"/>
      <c r="E794" s="3"/>
      <c r="F794" s="3"/>
      <c r="G794" s="3"/>
      <c r="H794" s="3"/>
      <c r="I794" s="3"/>
      <c r="J794" s="3"/>
    </row>
    <row r="795" ht="15.75" customHeight="1">
      <c r="A795" s="3"/>
      <c r="B795" s="3"/>
      <c r="C795" s="3"/>
      <c r="D795" s="3"/>
      <c r="E795" s="3"/>
      <c r="F795" s="3"/>
      <c r="G795" s="3"/>
      <c r="H795" s="3"/>
      <c r="I795" s="3"/>
      <c r="J795" s="3"/>
    </row>
    <row r="796" ht="15.75" customHeight="1">
      <c r="A796" s="3"/>
      <c r="B796" s="3"/>
      <c r="C796" s="3"/>
      <c r="D796" s="3"/>
      <c r="E796" s="3"/>
      <c r="F796" s="3"/>
      <c r="G796" s="3"/>
      <c r="H796" s="3"/>
      <c r="I796" s="3"/>
      <c r="J796" s="3"/>
    </row>
    <row r="797" ht="15.75" customHeight="1">
      <c r="A797" s="3"/>
      <c r="B797" s="3"/>
      <c r="C797" s="3"/>
      <c r="D797" s="3"/>
      <c r="E797" s="3"/>
      <c r="F797" s="3"/>
      <c r="G797" s="3"/>
      <c r="H797" s="3"/>
      <c r="I797" s="3"/>
      <c r="J797" s="3"/>
    </row>
    <row r="798" ht="15.75" customHeight="1">
      <c r="A798" s="3"/>
      <c r="B798" s="3"/>
      <c r="C798" s="3"/>
      <c r="D798" s="3"/>
      <c r="E798" s="3"/>
      <c r="F798" s="3"/>
      <c r="G798" s="3"/>
      <c r="H798" s="3"/>
      <c r="I798" s="3"/>
      <c r="J798" s="3"/>
    </row>
    <row r="799" ht="15.75" customHeight="1">
      <c r="A799" s="3"/>
      <c r="B799" s="3"/>
      <c r="C799" s="3"/>
      <c r="D799" s="3"/>
      <c r="E799" s="3"/>
      <c r="F799" s="3"/>
      <c r="G799" s="3"/>
      <c r="H799" s="3"/>
      <c r="I799" s="3"/>
      <c r="J799" s="3"/>
    </row>
    <row r="800" ht="15.75" customHeight="1">
      <c r="A800" s="3"/>
      <c r="B800" s="3"/>
      <c r="C800" s="3"/>
      <c r="D800" s="3"/>
      <c r="E800" s="3"/>
      <c r="F800" s="3"/>
      <c r="G800" s="3"/>
      <c r="H800" s="3"/>
      <c r="I800" s="3"/>
      <c r="J800" s="3"/>
    </row>
    <row r="801" ht="15.75" customHeight="1">
      <c r="A801" s="3"/>
      <c r="B801" s="3"/>
      <c r="C801" s="3"/>
      <c r="D801" s="3"/>
      <c r="E801" s="3"/>
      <c r="F801" s="3"/>
      <c r="G801" s="3"/>
      <c r="H801" s="3"/>
      <c r="I801" s="3"/>
      <c r="J801" s="3"/>
    </row>
    <row r="802" ht="15.75" customHeight="1">
      <c r="A802" s="3"/>
      <c r="B802" s="3"/>
      <c r="C802" s="3"/>
      <c r="D802" s="3"/>
      <c r="E802" s="3"/>
      <c r="F802" s="3"/>
      <c r="G802" s="3"/>
      <c r="H802" s="3"/>
      <c r="I802" s="3"/>
      <c r="J802" s="3"/>
    </row>
    <row r="803" ht="15.75" customHeight="1">
      <c r="A803" s="3"/>
      <c r="B803" s="3"/>
      <c r="C803" s="3"/>
      <c r="D803" s="3"/>
      <c r="E803" s="3"/>
      <c r="F803" s="3"/>
      <c r="G803" s="3"/>
      <c r="H803" s="3"/>
      <c r="I803" s="3"/>
      <c r="J803" s="3"/>
    </row>
    <row r="804" ht="15.75" customHeight="1">
      <c r="A804" s="3"/>
      <c r="B804" s="3"/>
      <c r="C804" s="3"/>
      <c r="D804" s="3"/>
      <c r="E804" s="3"/>
      <c r="F804" s="3"/>
      <c r="G804" s="3"/>
      <c r="H804" s="3"/>
      <c r="I804" s="3"/>
      <c r="J804" s="3"/>
    </row>
    <row r="805" ht="15.75" customHeight="1">
      <c r="A805" s="3"/>
      <c r="B805" s="3"/>
      <c r="C805" s="3"/>
      <c r="D805" s="3"/>
      <c r="E805" s="3"/>
      <c r="F805" s="3"/>
      <c r="G805" s="3"/>
      <c r="H805" s="3"/>
      <c r="I805" s="3"/>
      <c r="J805" s="3"/>
    </row>
    <row r="806" ht="15.75" customHeight="1">
      <c r="A806" s="3"/>
      <c r="B806" s="3"/>
      <c r="C806" s="3"/>
      <c r="D806" s="3"/>
      <c r="E806" s="3"/>
      <c r="F806" s="3"/>
      <c r="G806" s="3"/>
      <c r="H806" s="3"/>
      <c r="I806" s="3"/>
      <c r="J806" s="3"/>
    </row>
    <row r="807" ht="15.75" customHeight="1">
      <c r="A807" s="3"/>
      <c r="B807" s="3"/>
      <c r="C807" s="3"/>
      <c r="D807" s="3"/>
      <c r="E807" s="3"/>
      <c r="F807" s="3"/>
      <c r="G807" s="3"/>
      <c r="H807" s="3"/>
      <c r="I807" s="3"/>
      <c r="J807" s="3"/>
    </row>
    <row r="808" ht="15.75" customHeight="1">
      <c r="A808" s="3"/>
      <c r="B808" s="3"/>
      <c r="C808" s="3"/>
      <c r="D808" s="3"/>
      <c r="E808" s="3"/>
      <c r="F808" s="3"/>
      <c r="G808" s="3"/>
      <c r="H808" s="3"/>
      <c r="I808" s="3"/>
      <c r="J808" s="3"/>
    </row>
    <row r="809" ht="15.75" customHeight="1">
      <c r="A809" s="3"/>
      <c r="B809" s="3"/>
      <c r="C809" s="3"/>
      <c r="D809" s="3"/>
      <c r="E809" s="3"/>
      <c r="F809" s="3"/>
      <c r="G809" s="3"/>
      <c r="H809" s="3"/>
      <c r="I809" s="3"/>
      <c r="J809" s="3"/>
    </row>
    <row r="810" ht="15.75" customHeight="1">
      <c r="A810" s="3"/>
      <c r="B810" s="3"/>
      <c r="C810" s="3"/>
      <c r="D810" s="3"/>
      <c r="E810" s="3"/>
      <c r="F810" s="3"/>
      <c r="G810" s="3"/>
      <c r="H810" s="3"/>
      <c r="I810" s="3"/>
      <c r="J810" s="3"/>
    </row>
    <row r="811" ht="15.75" customHeight="1">
      <c r="A811" s="3"/>
      <c r="B811" s="3"/>
      <c r="C811" s="3"/>
      <c r="D811" s="3"/>
      <c r="E811" s="3"/>
      <c r="F811" s="3"/>
      <c r="G811" s="3"/>
      <c r="H811" s="3"/>
      <c r="I811" s="3"/>
      <c r="J811" s="3"/>
    </row>
    <row r="812" ht="15.75" customHeight="1">
      <c r="A812" s="3"/>
      <c r="B812" s="3"/>
      <c r="C812" s="3"/>
      <c r="D812" s="3"/>
      <c r="E812" s="3"/>
      <c r="F812" s="3"/>
      <c r="G812" s="3"/>
      <c r="H812" s="3"/>
      <c r="I812" s="3"/>
      <c r="J812" s="3"/>
    </row>
    <row r="813" ht="15.75" customHeight="1">
      <c r="A813" s="3"/>
      <c r="B813" s="3"/>
      <c r="C813" s="3"/>
      <c r="D813" s="3"/>
      <c r="E813" s="3"/>
      <c r="F813" s="3"/>
      <c r="G813" s="3"/>
      <c r="H813" s="3"/>
      <c r="I813" s="3"/>
      <c r="J813" s="3"/>
    </row>
    <row r="814" ht="15.75" customHeight="1">
      <c r="A814" s="3"/>
      <c r="B814" s="3"/>
      <c r="C814" s="3"/>
      <c r="D814" s="3"/>
      <c r="E814" s="3"/>
      <c r="F814" s="3"/>
      <c r="G814" s="3"/>
      <c r="H814" s="3"/>
      <c r="I814" s="3"/>
      <c r="J814" s="3"/>
    </row>
    <row r="815" ht="15.75" customHeight="1">
      <c r="A815" s="3"/>
      <c r="B815" s="3"/>
      <c r="C815" s="3"/>
      <c r="D815" s="3"/>
      <c r="E815" s="3"/>
      <c r="F815" s="3"/>
      <c r="G815" s="3"/>
      <c r="H815" s="3"/>
      <c r="I815" s="3"/>
      <c r="J815" s="3"/>
    </row>
    <row r="816" ht="15.75" customHeight="1">
      <c r="A816" s="3"/>
      <c r="B816" s="3"/>
      <c r="C816" s="3"/>
      <c r="D816" s="3"/>
      <c r="E816" s="3"/>
      <c r="F816" s="3"/>
      <c r="G816" s="3"/>
      <c r="H816" s="3"/>
      <c r="I816" s="3"/>
      <c r="J816" s="3"/>
    </row>
    <row r="817" ht="15.75" customHeight="1">
      <c r="A817" s="3"/>
      <c r="B817" s="3"/>
      <c r="C817" s="3"/>
      <c r="D817" s="3"/>
      <c r="E817" s="3"/>
      <c r="F817" s="3"/>
      <c r="G817" s="3"/>
      <c r="H817" s="3"/>
      <c r="I817" s="3"/>
      <c r="J817" s="3"/>
    </row>
    <row r="818" ht="15.75" customHeight="1">
      <c r="A818" s="3"/>
      <c r="B818" s="3"/>
      <c r="C818" s="3"/>
      <c r="D818" s="3"/>
      <c r="E818" s="3"/>
      <c r="F818" s="3"/>
      <c r="G818" s="3"/>
      <c r="H818" s="3"/>
      <c r="I818" s="3"/>
      <c r="J818" s="3"/>
    </row>
    <row r="819" ht="15.75" customHeight="1">
      <c r="A819" s="3"/>
      <c r="B819" s="3"/>
      <c r="C819" s="3"/>
      <c r="D819" s="3"/>
      <c r="E819" s="3"/>
      <c r="F819" s="3"/>
      <c r="G819" s="3"/>
      <c r="H819" s="3"/>
      <c r="I819" s="3"/>
      <c r="J819" s="3"/>
    </row>
    <row r="820" ht="15.75" customHeight="1">
      <c r="A820" s="3"/>
      <c r="B820" s="3"/>
      <c r="C820" s="3"/>
      <c r="D820" s="3"/>
      <c r="E820" s="3"/>
      <c r="F820" s="3"/>
      <c r="G820" s="3"/>
      <c r="H820" s="3"/>
      <c r="I820" s="3"/>
      <c r="J820" s="3"/>
    </row>
    <row r="821" ht="15.75" customHeight="1">
      <c r="A821" s="3"/>
      <c r="B821" s="3"/>
      <c r="C821" s="3"/>
      <c r="D821" s="3"/>
      <c r="E821" s="3"/>
      <c r="F821" s="3"/>
      <c r="G821" s="3"/>
      <c r="H821" s="3"/>
      <c r="I821" s="3"/>
      <c r="J821" s="3"/>
    </row>
    <row r="822" ht="15.75" customHeight="1">
      <c r="A822" s="3"/>
      <c r="B822" s="3"/>
      <c r="C822" s="3"/>
      <c r="D822" s="3"/>
      <c r="E822" s="3"/>
      <c r="F822" s="3"/>
      <c r="G822" s="3"/>
      <c r="H822" s="3"/>
      <c r="I822" s="3"/>
      <c r="J822" s="3"/>
    </row>
    <row r="823" ht="15.75" customHeight="1">
      <c r="A823" s="3"/>
      <c r="B823" s="3"/>
      <c r="C823" s="3"/>
      <c r="D823" s="3"/>
      <c r="E823" s="3"/>
      <c r="F823" s="3"/>
      <c r="G823" s="3"/>
      <c r="H823" s="3"/>
      <c r="I823" s="3"/>
      <c r="J823" s="3"/>
    </row>
    <row r="824" ht="15.75" customHeight="1">
      <c r="A824" s="3"/>
      <c r="B824" s="3"/>
      <c r="C824" s="3"/>
      <c r="D824" s="3"/>
      <c r="E824" s="3"/>
      <c r="F824" s="3"/>
      <c r="G824" s="3"/>
      <c r="H824" s="3"/>
      <c r="I824" s="3"/>
      <c r="J824" s="3"/>
    </row>
    <row r="825" ht="15.75" customHeight="1">
      <c r="A825" s="3"/>
      <c r="B825" s="3"/>
      <c r="C825" s="3"/>
      <c r="D825" s="3"/>
      <c r="E825" s="3"/>
      <c r="F825" s="3"/>
      <c r="G825" s="3"/>
      <c r="H825" s="3"/>
      <c r="I825" s="3"/>
      <c r="J825" s="3"/>
    </row>
    <row r="826" ht="15.75" customHeight="1">
      <c r="A826" s="3"/>
      <c r="B826" s="3"/>
      <c r="C826" s="3"/>
      <c r="D826" s="3"/>
      <c r="E826" s="3"/>
      <c r="F826" s="3"/>
      <c r="G826" s="3"/>
      <c r="H826" s="3"/>
      <c r="I826" s="3"/>
      <c r="J826" s="3"/>
    </row>
    <row r="827" ht="15.75" customHeight="1">
      <c r="A827" s="3"/>
      <c r="B827" s="3"/>
      <c r="C827" s="3"/>
      <c r="D827" s="3"/>
      <c r="E827" s="3"/>
      <c r="F827" s="3"/>
      <c r="G827" s="3"/>
      <c r="H827" s="3"/>
      <c r="I827" s="3"/>
      <c r="J827" s="3"/>
    </row>
    <row r="828" ht="15.75" customHeight="1">
      <c r="A828" s="3"/>
      <c r="B828" s="3"/>
      <c r="C828" s="3"/>
      <c r="D828" s="3"/>
      <c r="E828" s="3"/>
      <c r="F828" s="3"/>
      <c r="G828" s="3"/>
      <c r="H828" s="3"/>
      <c r="I828" s="3"/>
      <c r="J828" s="3"/>
    </row>
    <row r="829" ht="15.75" customHeight="1">
      <c r="A829" s="3"/>
      <c r="B829" s="3"/>
      <c r="C829" s="3"/>
      <c r="D829" s="3"/>
      <c r="E829" s="3"/>
      <c r="F829" s="3"/>
      <c r="G829" s="3"/>
      <c r="H829" s="3"/>
      <c r="I829" s="3"/>
      <c r="J829" s="3"/>
    </row>
    <row r="830" ht="15.75" customHeight="1">
      <c r="A830" s="3"/>
      <c r="B830" s="3"/>
      <c r="C830" s="3"/>
      <c r="D830" s="3"/>
      <c r="E830" s="3"/>
      <c r="F830" s="3"/>
      <c r="G830" s="3"/>
      <c r="H830" s="3"/>
      <c r="I830" s="3"/>
      <c r="J830" s="3"/>
    </row>
    <row r="831" ht="15.75" customHeight="1">
      <c r="A831" s="3"/>
      <c r="B831" s="3"/>
      <c r="C831" s="3"/>
      <c r="D831" s="3"/>
      <c r="E831" s="3"/>
      <c r="F831" s="3"/>
      <c r="G831" s="3"/>
      <c r="H831" s="3"/>
      <c r="I831" s="3"/>
      <c r="J831" s="3"/>
    </row>
    <row r="832" ht="15.75" customHeight="1">
      <c r="A832" s="3"/>
      <c r="B832" s="3"/>
      <c r="C832" s="3"/>
      <c r="D832" s="3"/>
      <c r="E832" s="3"/>
      <c r="F832" s="3"/>
      <c r="G832" s="3"/>
      <c r="H832" s="3"/>
      <c r="I832" s="3"/>
      <c r="J832" s="3"/>
    </row>
    <row r="833" ht="15.75" customHeight="1">
      <c r="A833" s="3"/>
      <c r="B833" s="3"/>
      <c r="C833" s="3"/>
      <c r="D833" s="3"/>
      <c r="E833" s="3"/>
      <c r="F833" s="3"/>
      <c r="G833" s="3"/>
      <c r="H833" s="3"/>
      <c r="I833" s="3"/>
      <c r="J833" s="3"/>
    </row>
    <row r="834" ht="15.75" customHeight="1">
      <c r="A834" s="3"/>
      <c r="B834" s="3"/>
      <c r="C834" s="3"/>
      <c r="D834" s="3"/>
      <c r="E834" s="3"/>
      <c r="F834" s="3"/>
      <c r="G834" s="3"/>
      <c r="H834" s="3"/>
      <c r="I834" s="3"/>
      <c r="J834" s="3"/>
    </row>
    <row r="835" ht="15.75" customHeight="1">
      <c r="A835" s="3"/>
      <c r="B835" s="3"/>
      <c r="C835" s="3"/>
      <c r="D835" s="3"/>
      <c r="E835" s="3"/>
      <c r="F835" s="3"/>
      <c r="G835" s="3"/>
      <c r="H835" s="3"/>
      <c r="I835" s="3"/>
      <c r="J835" s="3"/>
    </row>
    <row r="836" ht="15.75" customHeight="1">
      <c r="A836" s="3"/>
      <c r="B836" s="3"/>
      <c r="C836" s="3"/>
      <c r="D836" s="3"/>
      <c r="E836" s="3"/>
      <c r="F836" s="3"/>
      <c r="G836" s="3"/>
      <c r="H836" s="3"/>
      <c r="I836" s="3"/>
      <c r="J836" s="3"/>
    </row>
    <row r="837" ht="15.75" customHeight="1">
      <c r="A837" s="3"/>
      <c r="B837" s="3"/>
      <c r="C837" s="3"/>
      <c r="D837" s="3"/>
      <c r="E837" s="3"/>
      <c r="F837" s="3"/>
      <c r="G837" s="3"/>
      <c r="H837" s="3"/>
      <c r="I837" s="3"/>
      <c r="J837" s="3"/>
    </row>
    <row r="838" ht="15.75" customHeight="1">
      <c r="A838" s="3"/>
      <c r="B838" s="3"/>
      <c r="C838" s="3"/>
      <c r="D838" s="3"/>
      <c r="E838" s="3"/>
      <c r="F838" s="3"/>
      <c r="G838" s="3"/>
      <c r="H838" s="3"/>
      <c r="I838" s="3"/>
      <c r="J838" s="3"/>
    </row>
    <row r="839" ht="15.75" customHeight="1">
      <c r="A839" s="3"/>
      <c r="B839" s="3"/>
      <c r="C839" s="3"/>
      <c r="D839" s="3"/>
      <c r="E839" s="3"/>
      <c r="F839" s="3"/>
      <c r="G839" s="3"/>
      <c r="H839" s="3"/>
      <c r="I839" s="3"/>
      <c r="J839" s="3"/>
    </row>
    <row r="840" ht="15.75" customHeight="1">
      <c r="A840" s="3"/>
      <c r="B840" s="3"/>
      <c r="C840" s="3"/>
      <c r="D840" s="3"/>
      <c r="E840" s="3"/>
      <c r="F840" s="3"/>
      <c r="G840" s="3"/>
      <c r="H840" s="3"/>
      <c r="I840" s="3"/>
      <c r="J840" s="3"/>
    </row>
    <row r="841" ht="15.75" customHeight="1">
      <c r="A841" s="3"/>
      <c r="B841" s="3"/>
      <c r="C841" s="3"/>
      <c r="D841" s="3"/>
      <c r="E841" s="3"/>
      <c r="F841" s="3"/>
      <c r="G841" s="3"/>
      <c r="H841" s="3"/>
      <c r="I841" s="3"/>
      <c r="J841" s="3"/>
    </row>
    <row r="842" ht="15.75" customHeight="1">
      <c r="A842" s="3"/>
      <c r="B842" s="3"/>
      <c r="C842" s="3"/>
      <c r="D842" s="3"/>
      <c r="E842" s="3"/>
      <c r="F842" s="3"/>
      <c r="G842" s="3"/>
      <c r="H842" s="3"/>
      <c r="I842" s="3"/>
      <c r="J842" s="3"/>
    </row>
    <row r="843" ht="15.75" customHeight="1">
      <c r="A843" s="3"/>
      <c r="B843" s="3"/>
      <c r="C843" s="3"/>
      <c r="D843" s="3"/>
      <c r="E843" s="3"/>
      <c r="F843" s="3"/>
      <c r="G843" s="3"/>
      <c r="H843" s="3"/>
      <c r="I843" s="3"/>
      <c r="J843" s="3"/>
    </row>
    <row r="844" ht="15.75" customHeight="1">
      <c r="A844" s="3"/>
      <c r="B844" s="3"/>
      <c r="C844" s="3"/>
      <c r="D844" s="3"/>
      <c r="E844" s="3"/>
      <c r="F844" s="3"/>
      <c r="G844" s="3"/>
      <c r="H844" s="3"/>
      <c r="I844" s="3"/>
      <c r="J844" s="3"/>
    </row>
    <row r="845" ht="15.75" customHeight="1">
      <c r="A845" s="3"/>
      <c r="B845" s="3"/>
      <c r="C845" s="3"/>
      <c r="D845" s="3"/>
      <c r="E845" s="3"/>
      <c r="F845" s="3"/>
      <c r="G845" s="3"/>
      <c r="H845" s="3"/>
      <c r="I845" s="3"/>
      <c r="J845" s="3"/>
    </row>
    <row r="846" ht="15.75" customHeight="1">
      <c r="A846" s="3"/>
      <c r="B846" s="3"/>
      <c r="C846" s="3"/>
      <c r="D846" s="3"/>
      <c r="E846" s="3"/>
      <c r="F846" s="3"/>
      <c r="G846" s="3"/>
      <c r="H846" s="3"/>
      <c r="I846" s="3"/>
      <c r="J846" s="3"/>
    </row>
    <row r="847" ht="15.75" customHeight="1">
      <c r="A847" s="3"/>
      <c r="B847" s="3"/>
      <c r="C847" s="3"/>
      <c r="D847" s="3"/>
      <c r="E847" s="3"/>
      <c r="F847" s="3"/>
      <c r="G847" s="3"/>
      <c r="H847" s="3"/>
      <c r="I847" s="3"/>
      <c r="J847" s="3"/>
    </row>
    <row r="848" ht="15.75" customHeight="1">
      <c r="A848" s="3"/>
      <c r="B848" s="3"/>
      <c r="C848" s="3"/>
      <c r="D848" s="3"/>
      <c r="E848" s="3"/>
      <c r="F848" s="3"/>
      <c r="G848" s="3"/>
      <c r="H848" s="3"/>
      <c r="I848" s="3"/>
      <c r="J848" s="3"/>
    </row>
    <row r="849" ht="15.75" customHeight="1">
      <c r="A849" s="3"/>
      <c r="B849" s="3"/>
      <c r="C849" s="3"/>
      <c r="D849" s="3"/>
      <c r="E849" s="3"/>
      <c r="F849" s="3"/>
      <c r="G849" s="3"/>
      <c r="H849" s="3"/>
      <c r="I849" s="3"/>
      <c r="J849" s="3"/>
    </row>
    <row r="850" ht="15.75" customHeight="1">
      <c r="A850" s="3"/>
      <c r="B850" s="3"/>
      <c r="C850" s="3"/>
      <c r="D850" s="3"/>
      <c r="E850" s="3"/>
      <c r="F850" s="3"/>
      <c r="G850" s="3"/>
      <c r="H850" s="3"/>
      <c r="I850" s="3"/>
      <c r="J850" s="3"/>
    </row>
    <row r="851" ht="15.75" customHeight="1">
      <c r="A851" s="3"/>
      <c r="B851" s="3"/>
      <c r="C851" s="3"/>
      <c r="D851" s="3"/>
      <c r="E851" s="3"/>
      <c r="F851" s="3"/>
      <c r="G851" s="3"/>
      <c r="H851" s="3"/>
      <c r="I851" s="3"/>
      <c r="J851" s="3"/>
    </row>
    <row r="852" ht="15.75" customHeight="1">
      <c r="A852" s="3"/>
      <c r="B852" s="3"/>
      <c r="C852" s="3"/>
      <c r="D852" s="3"/>
      <c r="E852" s="3"/>
      <c r="F852" s="3"/>
      <c r="G852" s="3"/>
      <c r="H852" s="3"/>
      <c r="I852" s="3"/>
      <c r="J852" s="3"/>
    </row>
    <row r="853" ht="15.75" customHeight="1">
      <c r="A853" s="3"/>
      <c r="B853" s="3"/>
      <c r="C853" s="3"/>
      <c r="D853" s="3"/>
      <c r="E853" s="3"/>
      <c r="F853" s="3"/>
      <c r="G853" s="3"/>
      <c r="H853" s="3"/>
      <c r="I853" s="3"/>
      <c r="J853" s="3"/>
    </row>
    <row r="854" ht="15.75" customHeight="1">
      <c r="A854" s="3"/>
      <c r="B854" s="3"/>
      <c r="C854" s="3"/>
      <c r="D854" s="3"/>
      <c r="E854" s="3"/>
      <c r="F854" s="3"/>
      <c r="G854" s="3"/>
      <c r="H854" s="3"/>
      <c r="I854" s="3"/>
      <c r="J854" s="3"/>
    </row>
    <row r="855" ht="15.75" customHeight="1">
      <c r="A855" s="3"/>
      <c r="B855" s="3"/>
      <c r="C855" s="3"/>
      <c r="D855" s="3"/>
      <c r="E855" s="3"/>
      <c r="F855" s="3"/>
      <c r="G855" s="3"/>
      <c r="H855" s="3"/>
      <c r="I855" s="3"/>
      <c r="J855" s="3"/>
    </row>
    <row r="856" ht="15.75" customHeight="1">
      <c r="A856" s="3"/>
      <c r="B856" s="3"/>
      <c r="C856" s="3"/>
      <c r="D856" s="3"/>
      <c r="E856" s="3"/>
      <c r="F856" s="3"/>
      <c r="G856" s="3"/>
      <c r="H856" s="3"/>
      <c r="I856" s="3"/>
      <c r="J856" s="3"/>
    </row>
    <row r="857" ht="15.75" customHeight="1">
      <c r="A857" s="3"/>
      <c r="B857" s="3"/>
      <c r="C857" s="3"/>
      <c r="D857" s="3"/>
      <c r="E857" s="3"/>
      <c r="F857" s="3"/>
      <c r="G857" s="3"/>
      <c r="H857" s="3"/>
      <c r="I857" s="3"/>
      <c r="J857" s="3"/>
    </row>
    <row r="858" ht="15.75" customHeight="1">
      <c r="A858" s="3"/>
      <c r="B858" s="3"/>
      <c r="C858" s="3"/>
      <c r="D858" s="3"/>
      <c r="E858" s="3"/>
      <c r="F858" s="3"/>
      <c r="G858" s="3"/>
      <c r="H858" s="3"/>
      <c r="I858" s="3"/>
      <c r="J858" s="3"/>
    </row>
    <row r="859" ht="15.75" customHeight="1">
      <c r="A859" s="3"/>
      <c r="B859" s="3"/>
      <c r="C859" s="3"/>
      <c r="D859" s="3"/>
      <c r="E859" s="3"/>
      <c r="F859" s="3"/>
      <c r="G859" s="3"/>
      <c r="H859" s="3"/>
      <c r="I859" s="3"/>
      <c r="J859" s="3"/>
    </row>
    <row r="860" ht="15.75" customHeight="1">
      <c r="A860" s="3"/>
      <c r="B860" s="3"/>
      <c r="C860" s="3"/>
      <c r="D860" s="3"/>
      <c r="E860" s="3"/>
      <c r="F860" s="3"/>
      <c r="G860" s="3"/>
      <c r="H860" s="3"/>
      <c r="I860" s="3"/>
      <c r="J860" s="3"/>
    </row>
    <row r="861" ht="15.75" customHeight="1">
      <c r="A861" s="3"/>
      <c r="B861" s="3"/>
      <c r="C861" s="3"/>
      <c r="D861" s="3"/>
      <c r="E861" s="3"/>
      <c r="F861" s="3"/>
      <c r="G861" s="3"/>
      <c r="H861" s="3"/>
      <c r="I861" s="3"/>
      <c r="J861" s="3"/>
    </row>
    <row r="862" ht="15.75" customHeight="1">
      <c r="A862" s="3"/>
      <c r="B862" s="3"/>
      <c r="C862" s="3"/>
      <c r="D862" s="3"/>
      <c r="E862" s="3"/>
      <c r="F862" s="3"/>
      <c r="G862" s="3"/>
      <c r="H862" s="3"/>
      <c r="I862" s="3"/>
      <c r="J862" s="3"/>
    </row>
    <row r="863" ht="15.75" customHeight="1">
      <c r="A863" s="3"/>
      <c r="B863" s="3"/>
      <c r="C863" s="3"/>
      <c r="D863" s="3"/>
      <c r="E863" s="3"/>
      <c r="F863" s="3"/>
      <c r="G863" s="3"/>
      <c r="H863" s="3"/>
      <c r="I863" s="3"/>
      <c r="J863" s="3"/>
    </row>
    <row r="864" ht="15.75" customHeight="1">
      <c r="A864" s="3"/>
      <c r="B864" s="3"/>
      <c r="C864" s="3"/>
      <c r="D864" s="3"/>
      <c r="E864" s="3"/>
      <c r="F864" s="3"/>
      <c r="G864" s="3"/>
      <c r="H864" s="3"/>
      <c r="I864" s="3"/>
      <c r="J864" s="3"/>
    </row>
    <row r="865" ht="15.75" customHeight="1">
      <c r="A865" s="3"/>
      <c r="B865" s="3"/>
      <c r="C865" s="3"/>
      <c r="D865" s="3"/>
      <c r="E865" s="3"/>
      <c r="F865" s="3"/>
      <c r="G865" s="3"/>
      <c r="H865" s="3"/>
      <c r="I865" s="3"/>
      <c r="J865" s="3"/>
    </row>
    <row r="866" ht="15.75" customHeight="1">
      <c r="A866" s="3"/>
      <c r="B866" s="3"/>
      <c r="C866" s="3"/>
      <c r="D866" s="3"/>
      <c r="E866" s="3"/>
      <c r="F866" s="3"/>
      <c r="G866" s="3"/>
      <c r="H866" s="3"/>
      <c r="I866" s="3"/>
      <c r="J866" s="3"/>
    </row>
    <row r="867" ht="15.75" customHeight="1">
      <c r="A867" s="3"/>
      <c r="B867" s="3"/>
      <c r="C867" s="3"/>
      <c r="D867" s="3"/>
      <c r="E867" s="3"/>
      <c r="F867" s="3"/>
      <c r="G867" s="3"/>
      <c r="H867" s="3"/>
      <c r="I867" s="3"/>
      <c r="J867" s="3"/>
    </row>
    <row r="868" ht="15.75" customHeight="1">
      <c r="A868" s="3"/>
      <c r="B868" s="3"/>
      <c r="C868" s="3"/>
      <c r="D868" s="3"/>
      <c r="E868" s="3"/>
      <c r="F868" s="3"/>
      <c r="G868" s="3"/>
      <c r="H868" s="3"/>
      <c r="I868" s="3"/>
      <c r="J868" s="3"/>
    </row>
    <row r="869" ht="15.75" customHeight="1">
      <c r="A869" s="3"/>
      <c r="B869" s="3"/>
      <c r="C869" s="3"/>
      <c r="D869" s="3"/>
      <c r="E869" s="3"/>
      <c r="F869" s="3"/>
      <c r="G869" s="3"/>
      <c r="H869" s="3"/>
      <c r="I869" s="3"/>
      <c r="J869" s="3"/>
    </row>
    <row r="870" ht="15.75" customHeight="1">
      <c r="A870" s="3"/>
      <c r="B870" s="3"/>
      <c r="C870" s="3"/>
      <c r="D870" s="3"/>
      <c r="E870" s="3"/>
      <c r="F870" s="3"/>
      <c r="G870" s="3"/>
      <c r="H870" s="3"/>
      <c r="I870" s="3"/>
      <c r="J870" s="3"/>
    </row>
    <row r="871" ht="15.75" customHeight="1">
      <c r="A871" s="3"/>
      <c r="B871" s="3"/>
      <c r="C871" s="3"/>
      <c r="D871" s="3"/>
      <c r="E871" s="3"/>
      <c r="F871" s="3"/>
      <c r="G871" s="3"/>
      <c r="H871" s="3"/>
      <c r="I871" s="3"/>
      <c r="J871" s="3"/>
    </row>
    <row r="872" ht="15.75" customHeight="1">
      <c r="A872" s="3"/>
      <c r="B872" s="3"/>
      <c r="C872" s="3"/>
      <c r="D872" s="3"/>
      <c r="E872" s="3"/>
      <c r="F872" s="3"/>
      <c r="G872" s="3"/>
      <c r="H872" s="3"/>
      <c r="I872" s="3"/>
      <c r="J872" s="3"/>
    </row>
    <row r="873" ht="15.75" customHeight="1">
      <c r="A873" s="3"/>
      <c r="B873" s="3"/>
      <c r="C873" s="3"/>
      <c r="D873" s="3"/>
      <c r="E873" s="3"/>
      <c r="F873" s="3"/>
      <c r="G873" s="3"/>
      <c r="H873" s="3"/>
      <c r="I873" s="3"/>
      <c r="J873" s="3"/>
    </row>
    <row r="874" ht="15.75" customHeight="1">
      <c r="A874" s="3"/>
      <c r="B874" s="3"/>
      <c r="C874" s="3"/>
      <c r="D874" s="3"/>
      <c r="E874" s="3"/>
      <c r="F874" s="3"/>
      <c r="G874" s="3"/>
      <c r="H874" s="3"/>
      <c r="I874" s="3"/>
      <c r="J874" s="3"/>
    </row>
    <row r="875" ht="15.75" customHeight="1">
      <c r="A875" s="3"/>
      <c r="B875" s="3"/>
      <c r="C875" s="3"/>
      <c r="D875" s="3"/>
      <c r="E875" s="3"/>
      <c r="F875" s="3"/>
      <c r="G875" s="3"/>
      <c r="H875" s="3"/>
      <c r="I875" s="3"/>
      <c r="J875" s="3"/>
    </row>
    <row r="876" ht="15.75" customHeight="1">
      <c r="A876" s="3"/>
      <c r="B876" s="3"/>
      <c r="C876" s="3"/>
      <c r="D876" s="3"/>
      <c r="E876" s="3"/>
      <c r="F876" s="3"/>
      <c r="G876" s="3"/>
      <c r="H876" s="3"/>
      <c r="I876" s="3"/>
      <c r="J876" s="3"/>
    </row>
    <row r="877" ht="15.75" customHeight="1">
      <c r="A877" s="3"/>
      <c r="B877" s="3"/>
      <c r="C877" s="3"/>
      <c r="D877" s="3"/>
      <c r="E877" s="3"/>
      <c r="F877" s="3"/>
      <c r="G877" s="3"/>
      <c r="H877" s="3"/>
      <c r="I877" s="3"/>
      <c r="J877" s="3"/>
    </row>
    <row r="878" ht="15.75" customHeight="1">
      <c r="A878" s="3"/>
      <c r="B878" s="3"/>
      <c r="C878" s="3"/>
      <c r="D878" s="3"/>
      <c r="E878" s="3"/>
      <c r="F878" s="3"/>
      <c r="G878" s="3"/>
      <c r="H878" s="3"/>
      <c r="I878" s="3"/>
      <c r="J878" s="3"/>
    </row>
    <row r="879" ht="15.75" customHeight="1">
      <c r="A879" s="3"/>
      <c r="B879" s="3"/>
      <c r="C879" s="3"/>
      <c r="D879" s="3"/>
      <c r="E879" s="3"/>
      <c r="F879" s="3"/>
      <c r="G879" s="3"/>
      <c r="H879" s="3"/>
      <c r="I879" s="3"/>
      <c r="J879" s="3"/>
    </row>
    <row r="880" ht="15.75" customHeight="1">
      <c r="A880" s="3"/>
      <c r="B880" s="3"/>
      <c r="C880" s="3"/>
      <c r="D880" s="3"/>
      <c r="E880" s="3"/>
      <c r="F880" s="3"/>
      <c r="G880" s="3"/>
      <c r="H880" s="3"/>
      <c r="I880" s="3"/>
      <c r="J880" s="3"/>
    </row>
    <row r="881" ht="15.75" customHeight="1">
      <c r="A881" s="3"/>
      <c r="B881" s="3"/>
      <c r="C881" s="3"/>
      <c r="D881" s="3"/>
      <c r="E881" s="3"/>
      <c r="F881" s="3"/>
      <c r="G881" s="3"/>
      <c r="H881" s="3"/>
      <c r="I881" s="3"/>
      <c r="J881" s="3"/>
    </row>
    <row r="882" ht="15.75" customHeight="1">
      <c r="A882" s="3"/>
      <c r="B882" s="3"/>
      <c r="C882" s="3"/>
      <c r="D882" s="3"/>
      <c r="E882" s="3"/>
      <c r="F882" s="3"/>
      <c r="G882" s="3"/>
      <c r="H882" s="3"/>
      <c r="I882" s="3"/>
      <c r="J882" s="3"/>
    </row>
    <row r="883" ht="15.75" customHeight="1">
      <c r="A883" s="3"/>
      <c r="B883" s="3"/>
      <c r="C883" s="3"/>
      <c r="D883" s="3"/>
      <c r="E883" s="3"/>
      <c r="F883" s="3"/>
      <c r="G883" s="3"/>
      <c r="H883" s="3"/>
      <c r="I883" s="3"/>
      <c r="J883" s="3"/>
    </row>
    <row r="884" ht="15.75" customHeight="1">
      <c r="A884" s="3"/>
      <c r="B884" s="3"/>
      <c r="C884" s="3"/>
      <c r="D884" s="3"/>
      <c r="E884" s="3"/>
      <c r="F884" s="3"/>
      <c r="G884" s="3"/>
      <c r="H884" s="3"/>
      <c r="I884" s="3"/>
      <c r="J884" s="3"/>
    </row>
    <row r="885" ht="15.75" customHeight="1">
      <c r="A885" s="3"/>
      <c r="B885" s="3"/>
      <c r="C885" s="3"/>
      <c r="D885" s="3"/>
      <c r="E885" s="3"/>
      <c r="F885" s="3"/>
      <c r="G885" s="3"/>
      <c r="H885" s="3"/>
      <c r="I885" s="3"/>
      <c r="J885" s="3"/>
    </row>
    <row r="886" ht="15.75" customHeight="1">
      <c r="A886" s="3"/>
      <c r="B886" s="3"/>
      <c r="C886" s="3"/>
      <c r="D886" s="3"/>
      <c r="E886" s="3"/>
      <c r="F886" s="3"/>
      <c r="G886" s="3"/>
      <c r="H886" s="3"/>
      <c r="I886" s="3"/>
      <c r="J886" s="3"/>
    </row>
    <row r="887" ht="15.75" customHeight="1">
      <c r="A887" s="3"/>
      <c r="B887" s="3"/>
      <c r="C887" s="3"/>
      <c r="D887" s="3"/>
      <c r="E887" s="3"/>
      <c r="F887" s="3"/>
      <c r="G887" s="3"/>
      <c r="H887" s="3"/>
      <c r="I887" s="3"/>
      <c r="J887" s="3"/>
    </row>
    <row r="888" ht="15.75" customHeight="1">
      <c r="A888" s="3"/>
      <c r="B888" s="3"/>
      <c r="C888" s="3"/>
      <c r="D888" s="3"/>
      <c r="E888" s="3"/>
      <c r="F888" s="3"/>
      <c r="G888" s="3"/>
      <c r="H888" s="3"/>
      <c r="I888" s="3"/>
      <c r="J888" s="3"/>
    </row>
    <row r="889" ht="15.75" customHeight="1">
      <c r="A889" s="3"/>
      <c r="B889" s="3"/>
      <c r="C889" s="3"/>
      <c r="D889" s="3"/>
      <c r="E889" s="3"/>
      <c r="F889" s="3"/>
      <c r="G889" s="3"/>
      <c r="H889" s="3"/>
      <c r="I889" s="3"/>
      <c r="J889" s="3"/>
    </row>
    <row r="890" ht="15.75" customHeight="1">
      <c r="A890" s="3"/>
      <c r="B890" s="3"/>
      <c r="C890" s="3"/>
      <c r="D890" s="3"/>
      <c r="E890" s="3"/>
      <c r="F890" s="3"/>
      <c r="G890" s="3"/>
      <c r="H890" s="3"/>
      <c r="I890" s="3"/>
      <c r="J890" s="3"/>
    </row>
    <row r="891" ht="15.75" customHeight="1">
      <c r="A891" s="3"/>
      <c r="B891" s="3"/>
      <c r="C891" s="3"/>
      <c r="D891" s="3"/>
      <c r="E891" s="3"/>
      <c r="F891" s="3"/>
      <c r="G891" s="3"/>
      <c r="H891" s="3"/>
      <c r="I891" s="3"/>
      <c r="J891" s="3"/>
    </row>
    <row r="892" ht="15.75" customHeight="1">
      <c r="A892" s="3"/>
      <c r="B892" s="3"/>
      <c r="C892" s="3"/>
      <c r="D892" s="3"/>
      <c r="E892" s="3"/>
      <c r="F892" s="3"/>
      <c r="G892" s="3"/>
      <c r="H892" s="3"/>
      <c r="I892" s="3"/>
      <c r="J892" s="3"/>
    </row>
    <row r="893" ht="15.75" customHeight="1">
      <c r="A893" s="3"/>
      <c r="B893" s="3"/>
      <c r="C893" s="3"/>
      <c r="D893" s="3"/>
      <c r="E893" s="3"/>
      <c r="F893" s="3"/>
      <c r="G893" s="3"/>
      <c r="H893" s="3"/>
      <c r="I893" s="3"/>
      <c r="J893" s="3"/>
    </row>
    <row r="894" ht="15.75" customHeight="1">
      <c r="A894" s="3"/>
      <c r="B894" s="3"/>
      <c r="C894" s="3"/>
      <c r="D894" s="3"/>
      <c r="E894" s="3"/>
      <c r="F894" s="3"/>
      <c r="G894" s="3"/>
      <c r="H894" s="3"/>
      <c r="I894" s="3"/>
      <c r="J894" s="3"/>
    </row>
    <row r="895" ht="15.75" customHeight="1">
      <c r="A895" s="3"/>
      <c r="B895" s="3"/>
      <c r="C895" s="3"/>
      <c r="D895" s="3"/>
      <c r="E895" s="3"/>
      <c r="F895" s="3"/>
      <c r="G895" s="3"/>
      <c r="H895" s="3"/>
      <c r="I895" s="3"/>
      <c r="J895" s="3"/>
    </row>
    <row r="896" ht="15.75" customHeight="1">
      <c r="A896" s="3"/>
      <c r="B896" s="3"/>
      <c r="C896" s="3"/>
      <c r="D896" s="3"/>
      <c r="E896" s="3"/>
      <c r="F896" s="3"/>
      <c r="G896" s="3"/>
      <c r="H896" s="3"/>
      <c r="I896" s="3"/>
      <c r="J896" s="3"/>
    </row>
    <row r="897" ht="15.75" customHeight="1">
      <c r="A897" s="3"/>
      <c r="B897" s="3"/>
      <c r="C897" s="3"/>
      <c r="D897" s="3"/>
      <c r="E897" s="3"/>
      <c r="F897" s="3"/>
      <c r="G897" s="3"/>
      <c r="H897" s="3"/>
      <c r="I897" s="3"/>
      <c r="J897" s="3"/>
    </row>
    <row r="898" ht="15.75" customHeight="1">
      <c r="A898" s="3"/>
      <c r="B898" s="3"/>
      <c r="C898" s="3"/>
      <c r="D898" s="3"/>
      <c r="E898" s="3"/>
      <c r="F898" s="3"/>
      <c r="G898" s="3"/>
      <c r="H898" s="3"/>
      <c r="I898" s="3"/>
      <c r="J898" s="3"/>
    </row>
    <row r="899" ht="15.75" customHeight="1">
      <c r="A899" s="3"/>
      <c r="B899" s="3"/>
      <c r="C899" s="3"/>
      <c r="D899" s="3"/>
      <c r="E899" s="3"/>
      <c r="F899" s="3"/>
      <c r="G899" s="3"/>
      <c r="H899" s="3"/>
      <c r="I899" s="3"/>
      <c r="J899" s="3"/>
    </row>
    <row r="900" ht="15.75" customHeight="1">
      <c r="A900" s="3"/>
      <c r="B900" s="3"/>
      <c r="C900" s="3"/>
      <c r="D900" s="3"/>
      <c r="E900" s="3"/>
      <c r="F900" s="3"/>
      <c r="G900" s="3"/>
      <c r="H900" s="3"/>
      <c r="I900" s="3"/>
      <c r="J900" s="3"/>
    </row>
    <row r="901" ht="15.75" customHeight="1">
      <c r="A901" s="3"/>
      <c r="B901" s="3"/>
      <c r="C901" s="3"/>
      <c r="D901" s="3"/>
      <c r="E901" s="3"/>
      <c r="F901" s="3"/>
      <c r="G901" s="3"/>
      <c r="H901" s="3"/>
      <c r="I901" s="3"/>
      <c r="J901" s="3"/>
    </row>
    <row r="902" ht="15.75" customHeight="1">
      <c r="A902" s="3"/>
      <c r="B902" s="3"/>
      <c r="C902" s="3"/>
      <c r="D902" s="3"/>
      <c r="E902" s="3"/>
      <c r="F902" s="3"/>
      <c r="G902" s="3"/>
      <c r="H902" s="3"/>
      <c r="I902" s="3"/>
      <c r="J902" s="3"/>
    </row>
    <row r="903" ht="15.75" customHeight="1">
      <c r="A903" s="3"/>
      <c r="B903" s="3"/>
      <c r="C903" s="3"/>
      <c r="D903" s="3"/>
      <c r="E903" s="3"/>
      <c r="F903" s="3"/>
      <c r="G903" s="3"/>
      <c r="H903" s="3"/>
      <c r="I903" s="3"/>
      <c r="J903" s="3"/>
    </row>
    <row r="904" ht="15.75" customHeight="1">
      <c r="A904" s="3"/>
      <c r="B904" s="3"/>
      <c r="C904" s="3"/>
      <c r="D904" s="3"/>
      <c r="E904" s="3"/>
      <c r="F904" s="3"/>
      <c r="G904" s="3"/>
      <c r="H904" s="3"/>
      <c r="I904" s="3"/>
      <c r="J904" s="3"/>
    </row>
    <row r="905" ht="15.75" customHeight="1">
      <c r="A905" s="3"/>
      <c r="B905" s="3"/>
      <c r="C905" s="3"/>
      <c r="D905" s="3"/>
      <c r="E905" s="3"/>
      <c r="F905" s="3"/>
      <c r="G905" s="3"/>
      <c r="H905" s="3"/>
      <c r="I905" s="3"/>
      <c r="J905" s="3"/>
    </row>
    <row r="906" ht="15.75" customHeight="1">
      <c r="A906" s="3"/>
      <c r="B906" s="3"/>
      <c r="C906" s="3"/>
      <c r="D906" s="3"/>
      <c r="E906" s="3"/>
      <c r="F906" s="3"/>
      <c r="G906" s="3"/>
      <c r="H906" s="3"/>
      <c r="I906" s="3"/>
      <c r="J906" s="3"/>
    </row>
    <row r="907" ht="15.75" customHeight="1">
      <c r="A907" s="3"/>
      <c r="B907" s="3"/>
      <c r="C907" s="3"/>
      <c r="D907" s="3"/>
      <c r="E907" s="3"/>
      <c r="F907" s="3"/>
      <c r="G907" s="3"/>
      <c r="H907" s="3"/>
      <c r="I907" s="3"/>
      <c r="J907" s="3"/>
    </row>
    <row r="908" ht="15.75" customHeight="1">
      <c r="A908" s="3"/>
      <c r="B908" s="3"/>
      <c r="C908" s="3"/>
      <c r="D908" s="3"/>
      <c r="E908" s="3"/>
      <c r="F908" s="3"/>
      <c r="G908" s="3"/>
      <c r="H908" s="3"/>
      <c r="I908" s="3"/>
      <c r="J908" s="3"/>
    </row>
    <row r="909" ht="15.75" customHeight="1">
      <c r="A909" s="3"/>
      <c r="B909" s="3"/>
      <c r="C909" s="3"/>
      <c r="D909" s="3"/>
      <c r="E909" s="3"/>
      <c r="F909" s="3"/>
      <c r="G909" s="3"/>
      <c r="H909" s="3"/>
      <c r="I909" s="3"/>
      <c r="J909" s="3"/>
    </row>
    <row r="910" ht="15.75" customHeight="1">
      <c r="A910" s="3"/>
      <c r="B910" s="3"/>
      <c r="C910" s="3"/>
      <c r="D910" s="3"/>
      <c r="E910" s="3"/>
      <c r="F910" s="3"/>
      <c r="G910" s="3"/>
      <c r="H910" s="3"/>
      <c r="I910" s="3"/>
      <c r="J910" s="3"/>
    </row>
    <row r="911" ht="15.75" customHeight="1">
      <c r="A911" s="3"/>
      <c r="B911" s="3"/>
      <c r="C911" s="3"/>
      <c r="D911" s="3"/>
      <c r="E911" s="3"/>
      <c r="F911" s="3"/>
      <c r="G911" s="3"/>
      <c r="H911" s="3"/>
      <c r="I911" s="3"/>
      <c r="J911" s="3"/>
    </row>
    <row r="912" ht="15.75" customHeight="1">
      <c r="A912" s="3"/>
      <c r="B912" s="3"/>
      <c r="C912" s="3"/>
      <c r="D912" s="3"/>
      <c r="E912" s="3"/>
      <c r="F912" s="3"/>
      <c r="G912" s="3"/>
      <c r="H912" s="3"/>
      <c r="I912" s="3"/>
      <c r="J912" s="3"/>
    </row>
    <row r="913" ht="15.75" customHeight="1">
      <c r="A913" s="3"/>
      <c r="B913" s="3"/>
      <c r="C913" s="3"/>
      <c r="D913" s="3"/>
      <c r="E913" s="3"/>
      <c r="F913" s="3"/>
      <c r="G913" s="3"/>
      <c r="H913" s="3"/>
      <c r="I913" s="3"/>
      <c r="J913" s="3"/>
    </row>
    <row r="914" ht="15.75" customHeight="1">
      <c r="A914" s="3"/>
      <c r="B914" s="3"/>
      <c r="C914" s="3"/>
      <c r="D914" s="3"/>
      <c r="E914" s="3"/>
      <c r="F914" s="3"/>
      <c r="G914" s="3"/>
      <c r="H914" s="3"/>
      <c r="I914" s="3"/>
      <c r="J914" s="3"/>
    </row>
    <row r="915" ht="15.75" customHeight="1">
      <c r="A915" s="3"/>
      <c r="B915" s="3"/>
      <c r="C915" s="3"/>
      <c r="D915" s="3"/>
      <c r="E915" s="3"/>
      <c r="F915" s="3"/>
      <c r="G915" s="3"/>
      <c r="H915" s="3"/>
      <c r="I915" s="3"/>
      <c r="J915" s="3"/>
    </row>
    <row r="916" ht="15.75" customHeight="1">
      <c r="A916" s="3"/>
      <c r="B916" s="3"/>
      <c r="C916" s="3"/>
      <c r="D916" s="3"/>
      <c r="E916" s="3"/>
      <c r="F916" s="3"/>
      <c r="G916" s="3"/>
      <c r="H916" s="3"/>
      <c r="I916" s="3"/>
      <c r="J916" s="3"/>
    </row>
    <row r="917" ht="15.75" customHeight="1">
      <c r="A917" s="3"/>
      <c r="B917" s="3"/>
      <c r="C917" s="3"/>
      <c r="D917" s="3"/>
      <c r="E917" s="3"/>
      <c r="F917" s="3"/>
      <c r="G917" s="3"/>
      <c r="H917" s="3"/>
      <c r="I917" s="3"/>
      <c r="J917" s="3"/>
    </row>
    <row r="918" ht="15.75" customHeight="1">
      <c r="A918" s="3"/>
      <c r="B918" s="3"/>
      <c r="C918" s="3"/>
      <c r="D918" s="3"/>
      <c r="E918" s="3"/>
      <c r="F918" s="3"/>
      <c r="G918" s="3"/>
      <c r="H918" s="3"/>
      <c r="I918" s="3"/>
      <c r="J918" s="3"/>
    </row>
    <row r="919" ht="15.75" customHeight="1">
      <c r="A919" s="3"/>
      <c r="B919" s="3"/>
      <c r="C919" s="3"/>
      <c r="D919" s="3"/>
      <c r="E919" s="3"/>
      <c r="F919" s="3"/>
      <c r="G919" s="3"/>
      <c r="H919" s="3"/>
      <c r="I919" s="3"/>
      <c r="J919" s="3"/>
    </row>
    <row r="920" ht="15.75" customHeight="1">
      <c r="A920" s="3"/>
      <c r="B920" s="3"/>
      <c r="C920" s="3"/>
      <c r="D920" s="3"/>
      <c r="E920" s="3"/>
      <c r="F920" s="3"/>
      <c r="G920" s="3"/>
      <c r="H920" s="3"/>
      <c r="I920" s="3"/>
      <c r="J920" s="3"/>
    </row>
    <row r="921" ht="15.75" customHeight="1">
      <c r="A921" s="3"/>
      <c r="B921" s="3"/>
      <c r="C921" s="3"/>
      <c r="D921" s="3"/>
      <c r="E921" s="3"/>
      <c r="F921" s="3"/>
      <c r="G921" s="3"/>
      <c r="H921" s="3"/>
      <c r="I921" s="3"/>
      <c r="J921" s="3"/>
    </row>
    <row r="922" ht="15.75" customHeight="1">
      <c r="A922" s="3"/>
      <c r="B922" s="3"/>
      <c r="C922" s="3"/>
      <c r="D922" s="3"/>
      <c r="E922" s="3"/>
      <c r="F922" s="3"/>
      <c r="G922" s="3"/>
      <c r="H922" s="3"/>
      <c r="I922" s="3"/>
      <c r="J922" s="3"/>
    </row>
    <row r="923" ht="15.75" customHeight="1">
      <c r="A923" s="3"/>
      <c r="B923" s="3"/>
      <c r="C923" s="3"/>
      <c r="D923" s="3"/>
      <c r="E923" s="3"/>
      <c r="F923" s="3"/>
      <c r="G923" s="3"/>
      <c r="H923" s="3"/>
      <c r="I923" s="3"/>
      <c r="J923" s="3"/>
    </row>
    <row r="924" ht="15.75" customHeight="1">
      <c r="A924" s="3"/>
      <c r="B924" s="3"/>
      <c r="C924" s="3"/>
      <c r="D924" s="3"/>
      <c r="E924" s="3"/>
      <c r="F924" s="3"/>
      <c r="G924" s="3"/>
      <c r="H924" s="3"/>
      <c r="I924" s="3"/>
      <c r="J924" s="3"/>
    </row>
    <row r="925" ht="15.75" customHeight="1">
      <c r="A925" s="3"/>
      <c r="B925" s="3"/>
      <c r="C925" s="3"/>
      <c r="D925" s="3"/>
      <c r="E925" s="3"/>
      <c r="F925" s="3"/>
      <c r="G925" s="3"/>
      <c r="H925" s="3"/>
      <c r="I925" s="3"/>
      <c r="J925" s="3"/>
    </row>
    <row r="926" ht="15.75" customHeight="1">
      <c r="A926" s="3"/>
      <c r="B926" s="3"/>
      <c r="C926" s="3"/>
      <c r="D926" s="3"/>
      <c r="E926" s="3"/>
      <c r="F926" s="3"/>
      <c r="G926" s="3"/>
      <c r="H926" s="3"/>
      <c r="I926" s="3"/>
      <c r="J926" s="3"/>
    </row>
    <row r="927" ht="15.75" customHeight="1">
      <c r="A927" s="3"/>
      <c r="B927" s="3"/>
      <c r="C927" s="3"/>
      <c r="D927" s="3"/>
      <c r="E927" s="3"/>
      <c r="F927" s="3"/>
      <c r="G927" s="3"/>
      <c r="H927" s="3"/>
      <c r="I927" s="3"/>
      <c r="J927" s="3"/>
    </row>
    <row r="928" ht="15.75" customHeight="1">
      <c r="A928" s="3"/>
      <c r="B928" s="3"/>
      <c r="C928" s="3"/>
      <c r="D928" s="3"/>
      <c r="E928" s="3"/>
      <c r="F928" s="3"/>
      <c r="G928" s="3"/>
      <c r="H928" s="3"/>
      <c r="I928" s="3"/>
      <c r="J928" s="3"/>
    </row>
    <row r="929" ht="15.75" customHeight="1">
      <c r="A929" s="3"/>
      <c r="B929" s="3"/>
      <c r="C929" s="3"/>
      <c r="D929" s="3"/>
      <c r="E929" s="3"/>
      <c r="F929" s="3"/>
      <c r="G929" s="3"/>
      <c r="H929" s="3"/>
      <c r="I929" s="3"/>
      <c r="J929" s="3"/>
    </row>
    <row r="930" ht="15.75" customHeight="1">
      <c r="A930" s="3"/>
      <c r="B930" s="3"/>
      <c r="C930" s="3"/>
      <c r="D930" s="3"/>
      <c r="E930" s="3"/>
      <c r="F930" s="3"/>
      <c r="G930" s="3"/>
      <c r="H930" s="3"/>
      <c r="I930" s="3"/>
      <c r="J930" s="3"/>
    </row>
    <row r="931" ht="15.75" customHeight="1">
      <c r="A931" s="3"/>
      <c r="B931" s="3"/>
      <c r="C931" s="3"/>
      <c r="D931" s="3"/>
      <c r="E931" s="3"/>
      <c r="F931" s="3"/>
      <c r="G931" s="3"/>
      <c r="H931" s="3"/>
      <c r="I931" s="3"/>
      <c r="J931" s="3"/>
    </row>
    <row r="932" ht="15.75" customHeight="1">
      <c r="A932" s="3"/>
      <c r="B932" s="3"/>
      <c r="C932" s="3"/>
      <c r="D932" s="3"/>
      <c r="E932" s="3"/>
      <c r="F932" s="3"/>
      <c r="G932" s="3"/>
      <c r="H932" s="3"/>
      <c r="I932" s="3"/>
      <c r="J932" s="3"/>
    </row>
    <row r="933" ht="15.75" customHeight="1">
      <c r="A933" s="3"/>
      <c r="B933" s="3"/>
      <c r="C933" s="3"/>
      <c r="D933" s="3"/>
      <c r="E933" s="3"/>
      <c r="F933" s="3"/>
      <c r="G933" s="3"/>
      <c r="H933" s="3"/>
      <c r="I933" s="3"/>
      <c r="J933" s="3"/>
    </row>
    <row r="934" ht="15.75" customHeight="1">
      <c r="A934" s="3"/>
      <c r="B934" s="3"/>
      <c r="C934" s="3"/>
      <c r="D934" s="3"/>
      <c r="E934" s="3"/>
      <c r="F934" s="3"/>
      <c r="G934" s="3"/>
      <c r="H934" s="3"/>
      <c r="I934" s="3"/>
      <c r="J934" s="3"/>
    </row>
    <row r="935" ht="15.75" customHeight="1">
      <c r="A935" s="3"/>
      <c r="B935" s="3"/>
      <c r="C935" s="3"/>
      <c r="D935" s="3"/>
      <c r="E935" s="3"/>
      <c r="F935" s="3"/>
      <c r="G935" s="3"/>
      <c r="H935" s="3"/>
      <c r="I935" s="3"/>
      <c r="J935" s="3"/>
    </row>
    <row r="936" ht="15.75" customHeight="1">
      <c r="A936" s="3"/>
      <c r="B936" s="3"/>
      <c r="C936" s="3"/>
      <c r="D936" s="3"/>
      <c r="E936" s="3"/>
      <c r="F936" s="3"/>
      <c r="G936" s="3"/>
      <c r="H936" s="3"/>
      <c r="I936" s="3"/>
      <c r="J936" s="3"/>
    </row>
    <row r="937" ht="15.75" customHeight="1">
      <c r="A937" s="3"/>
      <c r="B937" s="3"/>
      <c r="C937" s="3"/>
      <c r="D937" s="3"/>
      <c r="E937" s="3"/>
      <c r="F937" s="3"/>
      <c r="G937" s="3"/>
      <c r="H937" s="3"/>
      <c r="I937" s="3"/>
      <c r="J937" s="3"/>
    </row>
    <row r="938" ht="15.75" customHeight="1">
      <c r="A938" s="3"/>
      <c r="B938" s="3"/>
      <c r="C938" s="3"/>
      <c r="D938" s="3"/>
      <c r="E938" s="3"/>
      <c r="F938" s="3"/>
      <c r="G938" s="3"/>
      <c r="H938" s="3"/>
      <c r="I938" s="3"/>
      <c r="J938" s="3"/>
    </row>
    <row r="939" ht="15.75" customHeight="1">
      <c r="A939" s="3"/>
      <c r="B939" s="3"/>
      <c r="C939" s="3"/>
      <c r="D939" s="3"/>
      <c r="E939" s="3"/>
      <c r="F939" s="3"/>
      <c r="G939" s="3"/>
      <c r="H939" s="3"/>
      <c r="I939" s="3"/>
      <c r="J939" s="3"/>
    </row>
    <row r="940" ht="15.75" customHeight="1">
      <c r="A940" s="3"/>
      <c r="B940" s="3"/>
      <c r="C940" s="3"/>
      <c r="D940" s="3"/>
      <c r="E940" s="3"/>
      <c r="F940" s="3"/>
      <c r="G940" s="3"/>
      <c r="H940" s="3"/>
      <c r="I940" s="3"/>
      <c r="J940" s="3"/>
    </row>
    <row r="941" ht="15.75" customHeight="1">
      <c r="A941" s="3"/>
      <c r="B941" s="3"/>
      <c r="C941" s="3"/>
      <c r="D941" s="3"/>
      <c r="E941" s="3"/>
      <c r="F941" s="3"/>
      <c r="G941" s="3"/>
      <c r="H941" s="3"/>
      <c r="I941" s="3"/>
      <c r="J941" s="3"/>
    </row>
    <row r="942" ht="15.75" customHeight="1">
      <c r="A942" s="3"/>
      <c r="B942" s="3"/>
      <c r="C942" s="3"/>
      <c r="D942" s="3"/>
      <c r="E942" s="3"/>
      <c r="F942" s="3"/>
      <c r="G942" s="3"/>
      <c r="H942" s="3"/>
      <c r="I942" s="3"/>
      <c r="J942" s="3"/>
    </row>
    <row r="943" ht="15.75" customHeight="1">
      <c r="A943" s="3"/>
      <c r="B943" s="3"/>
      <c r="C943" s="3"/>
      <c r="D943" s="3"/>
      <c r="E943" s="3"/>
      <c r="F943" s="3"/>
      <c r="G943" s="3"/>
      <c r="H943" s="3"/>
      <c r="I943" s="3"/>
      <c r="J943" s="3"/>
    </row>
    <row r="944" ht="15.75" customHeight="1">
      <c r="A944" s="3"/>
      <c r="B944" s="3"/>
      <c r="C944" s="3"/>
      <c r="D944" s="3"/>
      <c r="E944" s="3"/>
      <c r="F944" s="3"/>
      <c r="G944" s="3"/>
      <c r="H944" s="3"/>
      <c r="I944" s="3"/>
      <c r="J944" s="3"/>
    </row>
    <row r="945" ht="15.75" customHeight="1">
      <c r="A945" s="3"/>
      <c r="B945" s="3"/>
      <c r="C945" s="3"/>
      <c r="D945" s="3"/>
      <c r="E945" s="3"/>
      <c r="F945" s="3"/>
      <c r="G945" s="3"/>
      <c r="H945" s="3"/>
      <c r="I945" s="3"/>
      <c r="J945" s="3"/>
    </row>
    <row r="946" ht="15.75" customHeight="1">
      <c r="A946" s="3"/>
      <c r="B946" s="3"/>
      <c r="C946" s="3"/>
      <c r="D946" s="3"/>
      <c r="E946" s="3"/>
      <c r="F946" s="3"/>
      <c r="G946" s="3"/>
      <c r="H946" s="3"/>
      <c r="I946" s="3"/>
      <c r="J946" s="3"/>
    </row>
    <row r="947" ht="15.75" customHeight="1">
      <c r="A947" s="3"/>
      <c r="B947" s="3"/>
      <c r="C947" s="3"/>
      <c r="D947" s="3"/>
      <c r="E947" s="3"/>
      <c r="F947" s="3"/>
      <c r="G947" s="3"/>
      <c r="H947" s="3"/>
      <c r="I947" s="3"/>
      <c r="J947" s="3"/>
    </row>
    <row r="948" ht="15.75" customHeight="1">
      <c r="A948" s="3"/>
      <c r="B948" s="3"/>
      <c r="C948" s="3"/>
      <c r="D948" s="3"/>
      <c r="E948" s="3"/>
      <c r="F948" s="3"/>
      <c r="G948" s="3"/>
      <c r="H948" s="3"/>
      <c r="I948" s="3"/>
      <c r="J948" s="3"/>
    </row>
    <row r="949" ht="15.75" customHeight="1">
      <c r="A949" s="3"/>
      <c r="B949" s="3"/>
      <c r="C949" s="3"/>
      <c r="D949" s="3"/>
      <c r="E949" s="3"/>
      <c r="F949" s="3"/>
      <c r="G949" s="3"/>
      <c r="H949" s="3"/>
      <c r="I949" s="3"/>
      <c r="J949" s="3"/>
    </row>
    <row r="950" ht="15.75" customHeight="1">
      <c r="A950" s="3"/>
      <c r="B950" s="3"/>
      <c r="C950" s="3"/>
      <c r="D950" s="3"/>
      <c r="E950" s="3"/>
      <c r="F950" s="3"/>
      <c r="G950" s="3"/>
      <c r="H950" s="3"/>
      <c r="I950" s="3"/>
      <c r="J950" s="3"/>
    </row>
    <row r="951" ht="15.75" customHeight="1">
      <c r="A951" s="3"/>
      <c r="B951" s="3"/>
      <c r="C951" s="3"/>
      <c r="D951" s="3"/>
      <c r="E951" s="3"/>
      <c r="F951" s="3"/>
      <c r="G951" s="3"/>
      <c r="H951" s="3"/>
      <c r="I951" s="3"/>
      <c r="J951" s="3"/>
    </row>
    <row r="952" ht="15.75" customHeight="1">
      <c r="A952" s="3"/>
      <c r="B952" s="3"/>
      <c r="C952" s="3"/>
      <c r="D952" s="3"/>
      <c r="E952" s="3"/>
      <c r="F952" s="3"/>
      <c r="G952" s="3"/>
      <c r="H952" s="3"/>
      <c r="I952" s="3"/>
      <c r="J952" s="3"/>
    </row>
    <row r="953" ht="15.75" customHeight="1">
      <c r="A953" s="3"/>
      <c r="B953" s="3"/>
      <c r="C953" s="3"/>
      <c r="D953" s="3"/>
      <c r="E953" s="3"/>
      <c r="F953" s="3"/>
      <c r="G953" s="3"/>
      <c r="H953" s="3"/>
      <c r="I953" s="3"/>
      <c r="J953" s="3"/>
    </row>
    <row r="954" ht="15.75" customHeight="1">
      <c r="A954" s="3"/>
      <c r="B954" s="3"/>
      <c r="C954" s="3"/>
      <c r="D954" s="3"/>
      <c r="E954" s="3"/>
      <c r="F954" s="3"/>
      <c r="G954" s="3"/>
      <c r="H954" s="3"/>
      <c r="I954" s="3"/>
      <c r="J954" s="3"/>
    </row>
    <row r="955" ht="15.75" customHeight="1">
      <c r="A955" s="3"/>
      <c r="B955" s="3"/>
      <c r="C955" s="3"/>
      <c r="D955" s="3"/>
      <c r="E955" s="3"/>
      <c r="F955" s="3"/>
      <c r="G955" s="3"/>
      <c r="H955" s="3"/>
      <c r="I955" s="3"/>
      <c r="J955" s="3"/>
    </row>
    <row r="956" ht="15.75" customHeight="1">
      <c r="A956" s="3"/>
      <c r="B956" s="3"/>
      <c r="C956" s="3"/>
      <c r="D956" s="3"/>
      <c r="E956" s="3"/>
      <c r="F956" s="3"/>
      <c r="G956" s="3"/>
      <c r="H956" s="3"/>
      <c r="I956" s="3"/>
      <c r="J956" s="3"/>
    </row>
    <row r="957" ht="15.75" customHeight="1">
      <c r="A957" s="3"/>
      <c r="B957" s="3"/>
      <c r="C957" s="3"/>
      <c r="D957" s="3"/>
      <c r="E957" s="3"/>
      <c r="F957" s="3"/>
      <c r="G957" s="3"/>
      <c r="H957" s="3"/>
      <c r="I957" s="3"/>
      <c r="J957" s="3"/>
    </row>
    <row r="958" ht="15.75" customHeight="1">
      <c r="A958" s="3"/>
      <c r="B958" s="3"/>
      <c r="C958" s="3"/>
      <c r="D958" s="3"/>
      <c r="E958" s="3"/>
      <c r="F958" s="3"/>
      <c r="G958" s="3"/>
      <c r="H958" s="3"/>
      <c r="I958" s="3"/>
      <c r="J958" s="3"/>
    </row>
    <row r="959" ht="15.75" customHeight="1">
      <c r="A959" s="3"/>
      <c r="B959" s="3"/>
      <c r="C959" s="3"/>
      <c r="D959" s="3"/>
      <c r="E959" s="3"/>
      <c r="F959" s="3"/>
      <c r="G959" s="3"/>
      <c r="H959" s="3"/>
      <c r="I959" s="3"/>
      <c r="J959" s="3"/>
    </row>
    <row r="960" ht="15.75" customHeight="1">
      <c r="A960" s="3"/>
      <c r="B960" s="3"/>
      <c r="C960" s="3"/>
      <c r="D960" s="3"/>
      <c r="E960" s="3"/>
      <c r="F960" s="3"/>
      <c r="G960" s="3"/>
      <c r="H960" s="3"/>
      <c r="I960" s="3"/>
      <c r="J960" s="3"/>
    </row>
    <row r="961" ht="15.75" customHeight="1">
      <c r="A961" s="3"/>
      <c r="B961" s="3"/>
      <c r="C961" s="3"/>
      <c r="D961" s="3"/>
      <c r="E961" s="3"/>
      <c r="F961" s="3"/>
      <c r="G961" s="3"/>
      <c r="H961" s="3"/>
      <c r="I961" s="3"/>
      <c r="J961" s="3"/>
    </row>
    <row r="962" ht="15.75" customHeight="1">
      <c r="A962" s="3"/>
      <c r="B962" s="3"/>
      <c r="C962" s="3"/>
      <c r="D962" s="3"/>
      <c r="E962" s="3"/>
      <c r="F962" s="3"/>
      <c r="G962" s="3"/>
      <c r="H962" s="3"/>
      <c r="I962" s="3"/>
      <c r="J962" s="3"/>
    </row>
    <row r="963" ht="15.75" customHeight="1">
      <c r="A963" s="3"/>
      <c r="B963" s="3"/>
      <c r="C963" s="3"/>
      <c r="D963" s="3"/>
      <c r="E963" s="3"/>
      <c r="F963" s="3"/>
      <c r="G963" s="3"/>
      <c r="H963" s="3"/>
      <c r="I963" s="3"/>
      <c r="J963" s="3"/>
    </row>
    <row r="964" ht="15.75" customHeight="1">
      <c r="A964" s="3"/>
      <c r="B964" s="3"/>
      <c r="C964" s="3"/>
      <c r="D964" s="3"/>
      <c r="E964" s="3"/>
      <c r="F964" s="3"/>
      <c r="G964" s="3"/>
      <c r="H964" s="3"/>
      <c r="I964" s="3"/>
      <c r="J964" s="3"/>
    </row>
    <row r="965" ht="15.75" customHeight="1">
      <c r="A965" s="3"/>
      <c r="B965" s="3"/>
      <c r="C965" s="3"/>
      <c r="D965" s="3"/>
      <c r="E965" s="3"/>
      <c r="F965" s="3"/>
      <c r="G965" s="3"/>
      <c r="H965" s="3"/>
      <c r="I965" s="3"/>
      <c r="J965" s="3"/>
    </row>
    <row r="966" ht="15.75" customHeight="1">
      <c r="A966" s="3"/>
      <c r="B966" s="3"/>
      <c r="C966" s="3"/>
      <c r="D966" s="3"/>
      <c r="E966" s="3"/>
      <c r="F966" s="3"/>
      <c r="G966" s="3"/>
      <c r="H966" s="3"/>
      <c r="I966" s="3"/>
      <c r="J966" s="3"/>
    </row>
    <row r="967" ht="15.75" customHeight="1">
      <c r="A967" s="3"/>
      <c r="B967" s="3"/>
      <c r="C967" s="3"/>
      <c r="D967" s="3"/>
      <c r="E967" s="3"/>
      <c r="F967" s="3"/>
      <c r="G967" s="3"/>
      <c r="H967" s="3"/>
      <c r="I967" s="3"/>
      <c r="J967" s="3"/>
    </row>
    <row r="968" ht="15.75" customHeight="1">
      <c r="A968" s="3"/>
      <c r="B968" s="3"/>
      <c r="C968" s="3"/>
      <c r="D968" s="3"/>
      <c r="E968" s="3"/>
      <c r="F968" s="3"/>
      <c r="G968" s="3"/>
      <c r="H968" s="3"/>
      <c r="I968" s="3"/>
      <c r="J968" s="3"/>
    </row>
    <row r="969" ht="15.75" customHeight="1">
      <c r="A969" s="3"/>
      <c r="B969" s="3"/>
      <c r="C969" s="3"/>
      <c r="D969" s="3"/>
      <c r="E969" s="3"/>
      <c r="F969" s="3"/>
      <c r="G969" s="3"/>
      <c r="H969" s="3"/>
      <c r="I969" s="3"/>
      <c r="J969" s="3"/>
    </row>
    <row r="970" ht="15.75" customHeight="1">
      <c r="A970" s="3"/>
      <c r="B970" s="3"/>
      <c r="C970" s="3"/>
      <c r="D970" s="3"/>
      <c r="E970" s="3"/>
      <c r="F970" s="3"/>
      <c r="G970" s="3"/>
      <c r="H970" s="3"/>
      <c r="I970" s="3"/>
      <c r="J970" s="3"/>
    </row>
    <row r="971" ht="15.75" customHeight="1">
      <c r="A971" s="3"/>
      <c r="B971" s="3"/>
      <c r="C971" s="3"/>
      <c r="D971" s="3"/>
      <c r="E971" s="3"/>
      <c r="F971" s="3"/>
      <c r="G971" s="3"/>
      <c r="H971" s="3"/>
      <c r="I971" s="3"/>
      <c r="J971" s="3"/>
    </row>
    <row r="972" ht="15.75" customHeight="1">
      <c r="A972" s="3"/>
      <c r="B972" s="3"/>
      <c r="C972" s="3"/>
      <c r="D972" s="3"/>
      <c r="E972" s="3"/>
      <c r="F972" s="3"/>
      <c r="G972" s="3"/>
      <c r="H972" s="3"/>
      <c r="I972" s="3"/>
      <c r="J972" s="3"/>
    </row>
    <row r="973" ht="15.75" customHeight="1">
      <c r="A973" s="3"/>
      <c r="B973" s="3"/>
      <c r="C973" s="3"/>
      <c r="D973" s="3"/>
      <c r="E973" s="3"/>
      <c r="F973" s="3"/>
      <c r="G973" s="3"/>
      <c r="H973" s="3"/>
      <c r="I973" s="3"/>
      <c r="J973" s="3"/>
    </row>
    <row r="974" ht="15.75" customHeight="1">
      <c r="A974" s="3"/>
      <c r="B974" s="3"/>
      <c r="C974" s="3"/>
      <c r="D974" s="3"/>
      <c r="E974" s="3"/>
      <c r="F974" s="3"/>
      <c r="G974" s="3"/>
      <c r="H974" s="3"/>
      <c r="I974" s="3"/>
      <c r="J974" s="3"/>
    </row>
    <row r="975" ht="15.75" customHeight="1">
      <c r="A975" s="3"/>
      <c r="B975" s="3"/>
      <c r="C975" s="3"/>
      <c r="D975" s="3"/>
      <c r="E975" s="3"/>
      <c r="F975" s="3"/>
      <c r="G975" s="3"/>
      <c r="H975" s="3"/>
      <c r="I975" s="3"/>
      <c r="J975" s="3"/>
    </row>
    <row r="976" ht="15.75" customHeight="1">
      <c r="A976" s="3"/>
      <c r="B976" s="3"/>
      <c r="C976" s="3"/>
      <c r="D976" s="3"/>
      <c r="E976" s="3"/>
      <c r="F976" s="3"/>
      <c r="G976" s="3"/>
      <c r="H976" s="3"/>
      <c r="I976" s="3"/>
      <c r="J976" s="3"/>
    </row>
    <row r="977" ht="15.75" customHeight="1">
      <c r="A977" s="3"/>
      <c r="B977" s="3"/>
      <c r="C977" s="3"/>
      <c r="D977" s="3"/>
      <c r="E977" s="3"/>
      <c r="F977" s="3"/>
      <c r="G977" s="3"/>
      <c r="H977" s="3"/>
      <c r="I977" s="3"/>
      <c r="J977" s="3"/>
    </row>
    <row r="978" ht="15.75" customHeight="1">
      <c r="A978" s="3"/>
      <c r="B978" s="3"/>
      <c r="C978" s="3"/>
      <c r="D978" s="3"/>
      <c r="E978" s="3"/>
      <c r="F978" s="3"/>
      <c r="G978" s="3"/>
      <c r="H978" s="3"/>
      <c r="I978" s="3"/>
      <c r="J978" s="3"/>
    </row>
    <row r="979" ht="15.75" customHeight="1">
      <c r="A979" s="3"/>
      <c r="B979" s="3"/>
      <c r="C979" s="3"/>
      <c r="D979" s="3"/>
      <c r="E979" s="3"/>
      <c r="F979" s="3"/>
      <c r="G979" s="3"/>
      <c r="H979" s="3"/>
      <c r="I979" s="3"/>
      <c r="J979" s="3"/>
    </row>
    <row r="980" ht="15.75" customHeight="1">
      <c r="A980" s="3"/>
      <c r="B980" s="3"/>
      <c r="C980" s="3"/>
      <c r="D980" s="3"/>
      <c r="E980" s="3"/>
      <c r="F980" s="3"/>
      <c r="G980" s="3"/>
      <c r="H980" s="3"/>
      <c r="I980" s="3"/>
      <c r="J980" s="3"/>
    </row>
    <row r="981" ht="15.75" customHeight="1">
      <c r="A981" s="3"/>
      <c r="B981" s="3"/>
      <c r="C981" s="3"/>
      <c r="D981" s="3"/>
      <c r="E981" s="3"/>
      <c r="F981" s="3"/>
      <c r="G981" s="3"/>
      <c r="H981" s="3"/>
      <c r="I981" s="3"/>
      <c r="J981" s="3"/>
    </row>
    <row r="982" ht="15.75" customHeight="1">
      <c r="A982" s="3"/>
      <c r="B982" s="3"/>
      <c r="C982" s="3"/>
      <c r="D982" s="3"/>
      <c r="E982" s="3"/>
      <c r="F982" s="3"/>
      <c r="G982" s="3"/>
      <c r="H982" s="3"/>
      <c r="I982" s="3"/>
      <c r="J982" s="3"/>
    </row>
    <row r="983" ht="15.75" customHeight="1">
      <c r="A983" s="3"/>
      <c r="B983" s="3"/>
      <c r="C983" s="3"/>
      <c r="D983" s="3"/>
      <c r="E983" s="3"/>
      <c r="F983" s="3"/>
      <c r="G983" s="3"/>
      <c r="H983" s="3"/>
      <c r="I983" s="3"/>
      <c r="J983" s="3"/>
    </row>
    <row r="984" ht="15.75" customHeight="1">
      <c r="A984" s="3"/>
      <c r="B984" s="3"/>
      <c r="C984" s="3"/>
      <c r="D984" s="3"/>
      <c r="E984" s="3"/>
      <c r="F984" s="3"/>
      <c r="G984" s="3"/>
      <c r="H984" s="3"/>
      <c r="I984" s="3"/>
      <c r="J984" s="3"/>
    </row>
    <row r="985" ht="15.75" customHeight="1">
      <c r="A985" s="3"/>
      <c r="B985" s="3"/>
      <c r="C985" s="3"/>
      <c r="D985" s="3"/>
      <c r="E985" s="3"/>
      <c r="F985" s="3"/>
      <c r="G985" s="3"/>
      <c r="H985" s="3"/>
      <c r="I985" s="3"/>
      <c r="J985" s="3"/>
    </row>
    <row r="986" ht="15.75" customHeight="1">
      <c r="A986" s="3"/>
      <c r="B986" s="3"/>
      <c r="C986" s="3"/>
      <c r="D986" s="3"/>
      <c r="E986" s="3"/>
      <c r="F986" s="3"/>
      <c r="G986" s="3"/>
      <c r="H986" s="3"/>
      <c r="I986" s="3"/>
      <c r="J986" s="3"/>
    </row>
    <row r="987" ht="15.75" customHeight="1">
      <c r="A987" s="3"/>
      <c r="B987" s="3"/>
      <c r="C987" s="3"/>
      <c r="D987" s="3"/>
      <c r="E987" s="3"/>
      <c r="F987" s="3"/>
      <c r="G987" s="3"/>
      <c r="H987" s="3"/>
      <c r="I987" s="3"/>
      <c r="J987" s="3"/>
    </row>
    <row r="988" ht="15.75" customHeight="1">
      <c r="A988" s="3"/>
      <c r="B988" s="3"/>
      <c r="C988" s="3"/>
      <c r="D988" s="3"/>
      <c r="E988" s="3"/>
      <c r="F988" s="3"/>
      <c r="G988" s="3"/>
      <c r="H988" s="3"/>
      <c r="I988" s="3"/>
      <c r="J988" s="3"/>
    </row>
    <row r="989" ht="15.75" customHeight="1">
      <c r="A989" s="3"/>
      <c r="B989" s="3"/>
      <c r="C989" s="3"/>
      <c r="D989" s="3"/>
      <c r="E989" s="3"/>
      <c r="F989" s="3"/>
      <c r="G989" s="3"/>
      <c r="H989" s="3"/>
      <c r="I989" s="3"/>
      <c r="J989" s="3"/>
    </row>
    <row r="990" ht="15.75" customHeight="1">
      <c r="A990" s="3"/>
      <c r="B990" s="3"/>
      <c r="C990" s="3"/>
      <c r="D990" s="3"/>
      <c r="E990" s="3"/>
      <c r="F990" s="3"/>
      <c r="G990" s="3"/>
      <c r="H990" s="3"/>
      <c r="I990" s="3"/>
      <c r="J990" s="3"/>
    </row>
    <row r="991" ht="15.75" customHeight="1">
      <c r="A991" s="3"/>
      <c r="B991" s="3"/>
      <c r="C991" s="3"/>
      <c r="D991" s="3"/>
      <c r="E991" s="3"/>
      <c r="F991" s="3"/>
      <c r="G991" s="3"/>
      <c r="H991" s="3"/>
      <c r="I991" s="3"/>
      <c r="J991" s="3"/>
    </row>
    <row r="992" ht="15.75" customHeight="1">
      <c r="A992" s="3"/>
      <c r="B992" s="3"/>
      <c r="C992" s="3"/>
      <c r="D992" s="3"/>
      <c r="E992" s="3"/>
      <c r="F992" s="3"/>
      <c r="G992" s="3"/>
      <c r="H992" s="3"/>
      <c r="I992" s="3"/>
      <c r="J992" s="3"/>
    </row>
    <row r="993" ht="15.75" customHeight="1">
      <c r="A993" s="3"/>
      <c r="B993" s="3"/>
      <c r="C993" s="3"/>
      <c r="D993" s="3"/>
      <c r="E993" s="3"/>
      <c r="F993" s="3"/>
      <c r="G993" s="3"/>
      <c r="H993" s="3"/>
      <c r="I993" s="3"/>
      <c r="J993" s="3"/>
    </row>
    <row r="994" ht="15.75" customHeight="1">
      <c r="A994" s="3"/>
      <c r="B994" s="3"/>
      <c r="C994" s="3"/>
      <c r="D994" s="3"/>
      <c r="E994" s="3"/>
      <c r="F994" s="3"/>
      <c r="G994" s="3"/>
      <c r="H994" s="3"/>
      <c r="I994" s="3"/>
      <c r="J994" s="3"/>
    </row>
    <row r="995" ht="15.75" customHeight="1">
      <c r="A995" s="3"/>
      <c r="B995" s="3"/>
      <c r="C995" s="3"/>
      <c r="D995" s="3"/>
      <c r="E995" s="3"/>
      <c r="F995" s="3"/>
      <c r="G995" s="3"/>
      <c r="H995" s="3"/>
      <c r="I995" s="3"/>
      <c r="J995" s="3"/>
    </row>
    <row r="996" ht="15.75" customHeight="1">
      <c r="A996" s="3"/>
      <c r="B996" s="3"/>
      <c r="C996" s="3"/>
      <c r="D996" s="3"/>
      <c r="E996" s="3"/>
      <c r="F996" s="3"/>
      <c r="G996" s="3"/>
      <c r="H996" s="3"/>
      <c r="I996" s="3"/>
      <c r="J996" s="3"/>
    </row>
    <row r="997" ht="15.75" customHeight="1">
      <c r="A997" s="3"/>
      <c r="B997" s="3"/>
      <c r="C997" s="3"/>
      <c r="D997" s="3"/>
      <c r="E997" s="3"/>
      <c r="F997" s="3"/>
      <c r="G997" s="3"/>
      <c r="H997" s="3"/>
      <c r="I997" s="3"/>
      <c r="J997" s="3"/>
    </row>
    <row r="998" ht="15.75" customHeight="1">
      <c r="A998" s="3"/>
      <c r="B998" s="3"/>
      <c r="C998" s="3"/>
      <c r="D998" s="3"/>
      <c r="E998" s="3"/>
      <c r="F998" s="3"/>
      <c r="G998" s="3"/>
      <c r="H998" s="3"/>
      <c r="I998" s="3"/>
      <c r="J998" s="3"/>
    </row>
    <row r="999" ht="15.75" customHeight="1">
      <c r="A999" s="3"/>
      <c r="B999" s="3"/>
      <c r="C999" s="3"/>
      <c r="D999" s="3"/>
      <c r="E999" s="3"/>
      <c r="F999" s="3"/>
      <c r="G999" s="3"/>
      <c r="H999" s="3"/>
      <c r="I999" s="3"/>
      <c r="J999" s="3"/>
    </row>
    <row r="1000" ht="15.75" customHeight="1">
      <c r="A1000" s="3"/>
      <c r="B1000" s="3"/>
      <c r="C1000" s="3"/>
      <c r="D1000" s="3"/>
      <c r="E1000" s="3"/>
      <c r="F1000" s="3"/>
      <c r="G1000" s="3"/>
      <c r="H1000" s="3"/>
      <c r="I1000" s="3"/>
      <c r="J1000" s="3"/>
    </row>
  </sheetData>
  <mergeCells count="2">
    <mergeCell ref="A1:J1"/>
    <mergeCell ref="A2:J2"/>
  </mergeCells>
  <conditionalFormatting sqref="H5:H30">
    <cfRule type="colorScale" priority="1">
      <colorScale>
        <cfvo type="formula" val="0"/>
        <cfvo type="formula" val="0.5"/>
        <cfvo type="formula" val="1"/>
        <color rgb="FFF8696B"/>
        <color rgb="FFFFEB84"/>
        <color rgb="FF63BE7B"/>
      </colorScale>
    </cfRule>
  </conditionalFormatting>
  <conditionalFormatting sqref="J5:J30">
    <cfRule type="colorScale" priority="2">
      <colorScale>
        <cfvo type="formula" val="0"/>
        <cfvo type="formula" val="0.5"/>
        <cfvo type="formula" val="1"/>
        <color rgb="FFF8696B"/>
        <color rgb="FFFFEB84"/>
        <color rgb="FF63BE7B"/>
      </colorScale>
    </cfRule>
  </conditionalFormatting>
  <printOptions/>
  <pageMargins bottom="1.0" footer="0.0" header="0.0" left="0.75" right="0.75" top="1.0"/>
  <pageSetup paperSize="9" orientation="portrait"/>
  <drawing r:id="rId1"/>
</worksheet>
</file>